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PRIVE\Duurzaam Paasberg\e-deelauto\"/>
    </mc:Choice>
  </mc:AlternateContent>
  <xr:revisionPtr revIDLastSave="0" documentId="13_ncr:1_{3FD806B3-A0EF-4997-B5A2-404444275038}" xr6:coauthVersionLast="47" xr6:coauthVersionMax="47" xr10:uidLastSave="{00000000-0000-0000-0000-000000000000}"/>
  <bookViews>
    <workbookView xWindow="-108" yWindow="-108" windowWidth="23256" windowHeight="12576" xr2:uid="{7C35E79E-A46A-4794-BF9A-1A698993AB2E}"/>
  </bookViews>
  <sheets>
    <sheet name="WeDriveSolar" sheetId="1" r:id="rId1"/>
    <sheet name="MyWheels" sheetId="4" r:id="rId2"/>
    <sheet name="Eigen auto" sheetId="2" r:id="rId3"/>
    <sheet name="Vergelijkin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H20" i="4"/>
  <c r="H19" i="4"/>
  <c r="H18" i="4"/>
  <c r="H17" i="4"/>
  <c r="F20" i="4"/>
  <c r="F19" i="4"/>
  <c r="F18" i="4"/>
  <c r="F17" i="4"/>
  <c r="D30" i="1"/>
  <c r="H35" i="1"/>
  <c r="G35" i="1"/>
  <c r="D35" i="1"/>
  <c r="G33" i="1"/>
  <c r="G34" i="1"/>
  <c r="D34" i="1"/>
  <c r="H34" i="1" s="1"/>
  <c r="H33" i="1"/>
  <c r="G32" i="1"/>
  <c r="G31" i="1"/>
  <c r="D33" i="1"/>
  <c r="D32" i="1"/>
  <c r="H32" i="1" s="1"/>
  <c r="D31" i="1"/>
  <c r="H31" i="1" s="1"/>
  <c r="D8" i="2"/>
  <c r="C8" i="2"/>
  <c r="G20" i="4"/>
  <c r="J20" i="4" s="1"/>
  <c r="E20" i="4"/>
  <c r="G19" i="4"/>
  <c r="J19" i="4" s="1"/>
  <c r="E19" i="4"/>
  <c r="G18" i="4"/>
  <c r="J18" i="4" s="1"/>
  <c r="E18" i="4"/>
  <c r="G17" i="4"/>
  <c r="J17" i="4" s="1"/>
  <c r="E17" i="4"/>
  <c r="H6" i="2"/>
  <c r="G6" i="2"/>
  <c r="H5" i="2"/>
  <c r="G5" i="2"/>
  <c r="I5" i="2" s="1"/>
  <c r="H4" i="2"/>
  <c r="G4" i="2"/>
  <c r="H3" i="2"/>
  <c r="G3" i="2"/>
  <c r="D10" i="2"/>
  <c r="C10" i="2"/>
  <c r="B10" i="2"/>
  <c r="D6" i="2"/>
  <c r="C6" i="2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B4" i="2"/>
  <c r="B6" i="2" s="1"/>
  <c r="I4" i="2" l="1"/>
  <c r="I19" i="4"/>
  <c r="I17" i="4"/>
  <c r="I18" i="4"/>
  <c r="I20" i="4"/>
  <c r="I3" i="2"/>
  <c r="B14" i="2" s="1"/>
  <c r="G14" i="2" s="1"/>
  <c r="D14" i="2"/>
  <c r="D19" i="2" s="1"/>
  <c r="D15" i="2"/>
  <c r="D20" i="2" s="1"/>
  <c r="B16" i="2"/>
  <c r="G16" i="2" s="1"/>
  <c r="I6" i="2"/>
  <c r="B17" i="2" s="1"/>
  <c r="G17" i="2" s="1"/>
  <c r="C16" i="2"/>
  <c r="H16" i="2" s="1"/>
  <c r="B15" i="2"/>
  <c r="G15" i="2" s="1"/>
  <c r="D16" i="2"/>
  <c r="I16" i="2" s="1"/>
  <c r="C15" i="2"/>
  <c r="H15" i="2" s="1"/>
  <c r="F6" i="1"/>
  <c r="E6" i="1"/>
  <c r="D6" i="1"/>
  <c r="C6" i="1"/>
  <c r="B6" i="1"/>
  <c r="D27" i="1"/>
  <c r="D26" i="1"/>
  <c r="D25" i="1"/>
  <c r="D24" i="1"/>
  <c r="I27" i="1"/>
  <c r="B17" i="3" s="1"/>
  <c r="I26" i="1"/>
  <c r="B16" i="3" s="1"/>
  <c r="I25" i="1"/>
  <c r="B15" i="3" s="1"/>
  <c r="I24" i="1"/>
  <c r="I20" i="2" l="1"/>
  <c r="I19" i="2"/>
  <c r="K19" i="4"/>
  <c r="O26" i="1" s="1"/>
  <c r="D8" i="3" s="1"/>
  <c r="D16" i="3"/>
  <c r="K18" i="4"/>
  <c r="O25" i="1" s="1"/>
  <c r="D7" i="3" s="1"/>
  <c r="D15" i="3"/>
  <c r="K20" i="4"/>
  <c r="O27" i="1" s="1"/>
  <c r="D9" i="3" s="1"/>
  <c r="D17" i="3"/>
  <c r="K17" i="4"/>
  <c r="O24" i="1" s="1"/>
  <c r="D6" i="3" s="1"/>
  <c r="D14" i="3"/>
  <c r="C14" i="2"/>
  <c r="C19" i="2" s="1"/>
  <c r="L24" i="1"/>
  <c r="B6" i="3" s="1"/>
  <c r="B14" i="3"/>
  <c r="I14" i="2"/>
  <c r="B21" i="2"/>
  <c r="G6" i="3"/>
  <c r="G7" i="3"/>
  <c r="I15" i="2"/>
  <c r="D17" i="2"/>
  <c r="I17" i="2" s="1"/>
  <c r="B22" i="2"/>
  <c r="J25" i="1"/>
  <c r="K25" i="1" s="1"/>
  <c r="C15" i="3" s="1"/>
  <c r="L25" i="1"/>
  <c r="B7" i="3" s="1"/>
  <c r="J26" i="1"/>
  <c r="K26" i="1" s="1"/>
  <c r="C16" i="3" s="1"/>
  <c r="L26" i="1"/>
  <c r="B8" i="3" s="1"/>
  <c r="C17" i="2"/>
  <c r="H17" i="2" s="1"/>
  <c r="C20" i="2"/>
  <c r="B19" i="2"/>
  <c r="J27" i="1"/>
  <c r="L27" i="1"/>
  <c r="B9" i="3" s="1"/>
  <c r="C21" i="2"/>
  <c r="D21" i="2"/>
  <c r="B20" i="2"/>
  <c r="J24" i="1"/>
  <c r="G14" i="3" l="1"/>
  <c r="G21" i="2"/>
  <c r="G15" i="3"/>
  <c r="K15" i="3" s="1"/>
  <c r="H14" i="2"/>
  <c r="E8" i="3"/>
  <c r="M25" i="1"/>
  <c r="C7" i="3" s="1"/>
  <c r="K7" i="3" s="1"/>
  <c r="M26" i="1"/>
  <c r="C8" i="3" s="1"/>
  <c r="I8" i="3" s="1"/>
  <c r="K27" i="1"/>
  <c r="C17" i="3" s="1"/>
  <c r="K24" i="1"/>
  <c r="C14" i="3" s="1"/>
  <c r="K14" i="3" s="1"/>
  <c r="D22" i="2"/>
  <c r="C22" i="2"/>
  <c r="G20" i="2"/>
  <c r="E7" i="3"/>
  <c r="I21" i="2"/>
  <c r="G8" i="3"/>
  <c r="G19" i="2"/>
  <c r="E6" i="3"/>
  <c r="H21" i="2"/>
  <c r="F8" i="3"/>
  <c r="J8" i="3" s="1"/>
  <c r="H20" i="2"/>
  <c r="F7" i="3"/>
  <c r="H19" i="2"/>
  <c r="F6" i="3"/>
  <c r="G22" i="2"/>
  <c r="E9" i="3"/>
  <c r="E16" i="3" l="1"/>
  <c r="I16" i="3" s="1"/>
  <c r="G9" i="3"/>
  <c r="E17" i="3"/>
  <c r="H22" i="2"/>
  <c r="E14" i="3"/>
  <c r="G16" i="3"/>
  <c r="K16" i="3" s="1"/>
  <c r="F16" i="3"/>
  <c r="J16" i="3" s="1"/>
  <c r="F14" i="3"/>
  <c r="J14" i="3" s="1"/>
  <c r="F15" i="3"/>
  <c r="J15" i="3" s="1"/>
  <c r="E15" i="3"/>
  <c r="I15" i="3" s="1"/>
  <c r="I17" i="3"/>
  <c r="M24" i="1"/>
  <c r="C6" i="3" s="1"/>
  <c r="K6" i="3" s="1"/>
  <c r="K8" i="3"/>
  <c r="I14" i="3"/>
  <c r="I6" i="3"/>
  <c r="J6" i="3"/>
  <c r="I7" i="3"/>
  <c r="J7" i="3"/>
  <c r="M27" i="1"/>
  <c r="C9" i="3" s="1"/>
  <c r="I9" i="3" s="1"/>
  <c r="I22" i="2"/>
  <c r="F9" i="3"/>
  <c r="G17" i="3" l="1"/>
  <c r="K17" i="3" s="1"/>
  <c r="F17" i="3"/>
  <c r="J17" i="3" s="1"/>
  <c r="J9" i="3"/>
  <c r="K9" i="3"/>
</calcChain>
</file>

<file path=xl/sharedStrings.xml><?xml version="1.0" encoding="utf-8"?>
<sst xmlns="http://schemas.openxmlformats.org/spreadsheetml/2006/main" count="176" uniqueCount="93">
  <si>
    <t>Scenario</t>
  </si>
  <si>
    <t>Solar Gold</t>
  </si>
  <si>
    <t>Solar Max</t>
  </si>
  <si>
    <t>Solar Mega</t>
  </si>
  <si>
    <t>Solar Ultra</t>
  </si>
  <si>
    <t>dagen per maand:</t>
  </si>
  <si>
    <t>Solar</t>
  </si>
  <si>
    <t>Eigen auto</t>
  </si>
  <si>
    <t>per week</t>
  </si>
  <si>
    <t>km</t>
  </si>
  <si>
    <t>A</t>
  </si>
  <si>
    <t>B</t>
  </si>
  <si>
    <t>C</t>
  </si>
  <si>
    <t>D</t>
  </si>
  <si>
    <t>per maand</t>
  </si>
  <si>
    <t>Renault Zoe</t>
  </si>
  <si>
    <t>Hyundai Kona</t>
  </si>
  <si>
    <t>Tesla Model 3</t>
  </si>
  <si>
    <t>€ per km</t>
  </si>
  <si>
    <t>Een uur kost:</t>
  </si>
  <si>
    <t>credits</t>
  </si>
  <si>
    <t>tussen 07 - 18 u</t>
  </si>
  <si>
    <t>tussen 18 - 21 u</t>
  </si>
  <si>
    <t>tussen 23 - 07 u</t>
  </si>
  <si>
    <t>tussen 21 - 23 u</t>
  </si>
  <si>
    <t>Maandbedrag per auto</t>
  </si>
  <si>
    <t>Scenario's (tussen 7 en 18u)</t>
  </si>
  <si>
    <t>uur</t>
  </si>
  <si>
    <t>klein</t>
  </si>
  <si>
    <t>middel</t>
  </si>
  <si>
    <t>groot</t>
  </si>
  <si>
    <t>Abonnementen ---&gt;</t>
  </si>
  <si>
    <t>Aantal credits per maand:</t>
  </si>
  <si>
    <t>Prijs per maand</t>
  </si>
  <si>
    <r>
      <t xml:space="preserve">credits / </t>
    </r>
    <r>
      <rPr>
        <sz val="11"/>
        <color theme="0" tint="-0.499984740745262"/>
        <rFont val="Calibri"/>
        <family val="2"/>
      </rPr>
      <t>€</t>
    </r>
  </si>
  <si>
    <t>Een credit is dus onegveer een euro</t>
  </si>
  <si>
    <t>tot p.mnd</t>
  </si>
  <si>
    <t>uren</t>
  </si>
  <si>
    <t>€</t>
  </si>
  <si>
    <t>Afschrijving per jaar:</t>
  </si>
  <si>
    <t>Verzekering per jaar:</t>
  </si>
  <si>
    <t>Wegenbelasting per jaar:</t>
  </si>
  <si>
    <t>Vaste kosten per jaar:</t>
  </si>
  <si>
    <t>Onderhoudskosten per jaar:</t>
  </si>
  <si>
    <t>Prijs benzine per liter:</t>
  </si>
  <si>
    <t>Verbruik  in l/100km</t>
  </si>
  <si>
    <t>Verbruik  1 op ** km</t>
  </si>
  <si>
    <t>per keer</t>
  </si>
  <si>
    <t>Kosten per jaar</t>
  </si>
  <si>
    <t>A (bezine)</t>
  </si>
  <si>
    <t>B (bezine)</t>
  </si>
  <si>
    <t>C (bezine)</t>
  </si>
  <si>
    <t>D (bezine)</t>
  </si>
  <si>
    <t>A (vast + benzine)</t>
  </si>
  <si>
    <t>B (vast + benzine)</t>
  </si>
  <si>
    <t>C (vast + benzine)</t>
  </si>
  <si>
    <t>D (vast + benzine)</t>
  </si>
  <si>
    <t>Kosten per maand</t>
  </si>
  <si>
    <t>Kostenvergelijking e-deelauto en eigen auto</t>
  </si>
  <si>
    <t>eigen auto</t>
  </si>
  <si>
    <t>Kosten zijn overgenomen van de vorige twee tabs</t>
  </si>
  <si>
    <t>2. km p. mnd</t>
  </si>
  <si>
    <t>1. Abbo p. mnd</t>
  </si>
  <si>
    <t>tot. per jaar</t>
  </si>
  <si>
    <t>Per maand</t>
  </si>
  <si>
    <t>Per jaar</t>
  </si>
  <si>
    <t>Scenario / model-&gt;</t>
  </si>
  <si>
    <t>1. Uurkosten p. mnd</t>
  </si>
  <si>
    <t>€ per uur</t>
  </si>
  <si>
    <t>Skoda CITIGOe</t>
  </si>
  <si>
    <t>myWheels e</t>
  </si>
  <si>
    <t xml:space="preserve">MyWheels e-Deelauto </t>
  </si>
  <si>
    <t>WeDrive Solar e-Deelauto</t>
  </si>
  <si>
    <t>WeDriveSol</t>
  </si>
  <si>
    <t>MyWheels</t>
  </si>
  <si>
    <t>A (benzine)</t>
  </si>
  <si>
    <t>B (benzine)</t>
  </si>
  <si>
    <t>C (benzine)</t>
  </si>
  <si>
    <t>D (benzine)</t>
  </si>
  <si>
    <t>Besparing WeDriveSol t.o.v. eigen auto</t>
  </si>
  <si>
    <t>Hyundai IONIQ5</t>
  </si>
  <si>
    <t>1 x per week naar Zaltbommel</t>
  </si>
  <si>
    <t>2 x per maand naar Breda</t>
  </si>
  <si>
    <t>kosten</t>
  </si>
  <si>
    <t>afstand</t>
  </si>
  <si>
    <t>N per mnd</t>
  </si>
  <si>
    <t>tijd [u] O</t>
  </si>
  <si>
    <t>tijd [u] A</t>
  </si>
  <si>
    <t>1x per week naar Arnhem--Z avond</t>
  </si>
  <si>
    <t>2x per week boodschappen overdag</t>
  </si>
  <si>
    <t>1 x per maand naar Leeuwarden</t>
  </si>
  <si>
    <t>Scenario's</t>
  </si>
  <si>
    <t>Voor een Renault Zoe: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</si>
</sst>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&quot;€&quot;\ #,##0.0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sz val="9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 indent="1"/>
    </xf>
    <xf numFmtId="0" fontId="1" fillId="0" borderId="0" xfId="0" applyFont="1" applyAlignment="1">
      <alignment horizontal="right" indent="1"/>
    </xf>
    <xf numFmtId="20" fontId="0" fillId="0" borderId="0" xfId="0" applyNumberFormat="1"/>
    <xf numFmtId="4" fontId="0" fillId="0" borderId="0" xfId="0" applyNumberForma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right" indent="1"/>
    </xf>
    <xf numFmtId="0" fontId="0" fillId="4" borderId="1" xfId="0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2" fillId="4" borderId="7" xfId="0" applyFont="1" applyFill="1" applyBorder="1" applyAlignment="1">
      <alignment horizontal="right"/>
    </xf>
    <xf numFmtId="165" fontId="0" fillId="4" borderId="9" xfId="0" applyNumberFormat="1" applyFont="1" applyFill="1" applyBorder="1" applyAlignment="1">
      <alignment horizontal="right" indent="1"/>
    </xf>
    <xf numFmtId="165" fontId="0" fillId="4" borderId="12" xfId="0" applyNumberFormat="1" applyFont="1" applyFill="1" applyBorder="1" applyAlignment="1">
      <alignment horizontal="right" indent="1"/>
    </xf>
    <xf numFmtId="0" fontId="0" fillId="3" borderId="3" xfId="0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4" borderId="15" xfId="0" applyFill="1" applyBorder="1" applyAlignment="1">
      <alignment horizontal="right"/>
    </xf>
    <xf numFmtId="0" fontId="0" fillId="4" borderId="12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16" xfId="0" applyFill="1" applyBorder="1"/>
    <xf numFmtId="0" fontId="1" fillId="4" borderId="17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1" fillId="4" borderId="13" xfId="0" applyFont="1" applyFill="1" applyBorder="1"/>
    <xf numFmtId="0" fontId="1" fillId="4" borderId="2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right"/>
    </xf>
    <xf numFmtId="164" fontId="0" fillId="4" borderId="9" xfId="0" applyNumberForma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/>
    <xf numFmtId="0" fontId="0" fillId="4" borderId="8" xfId="0" applyFill="1" applyBorder="1" applyAlignment="1">
      <alignment horizontal="left"/>
    </xf>
    <xf numFmtId="0" fontId="0" fillId="4" borderId="3" xfId="0" applyFill="1" applyBorder="1" applyAlignment="1"/>
    <xf numFmtId="0" fontId="0" fillId="4" borderId="10" xfId="0" applyFill="1" applyBorder="1" applyAlignment="1">
      <alignment horizontal="left"/>
    </xf>
    <xf numFmtId="0" fontId="0" fillId="4" borderId="11" xfId="0" applyFill="1" applyBorder="1" applyAlignment="1"/>
    <xf numFmtId="0" fontId="7" fillId="4" borderId="15" xfId="0" applyFont="1" applyFill="1" applyBorder="1" applyAlignment="1">
      <alignment horizontal="right"/>
    </xf>
    <xf numFmtId="4" fontId="9" fillId="4" borderId="21" xfId="0" applyNumberFormat="1" applyFont="1" applyFill="1" applyBorder="1" applyAlignment="1">
      <alignment horizontal="center"/>
    </xf>
    <xf numFmtId="4" fontId="9" fillId="4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0" fillId="2" borderId="33" xfId="0" applyNumberForma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164" fontId="0" fillId="2" borderId="34" xfId="0" applyNumberFormat="1" applyFont="1" applyFill="1" applyBorder="1" applyAlignment="1">
      <alignment horizontal="center"/>
    </xf>
    <xf numFmtId="164" fontId="0" fillId="2" borderId="35" xfId="0" applyNumberFormat="1" applyFont="1" applyFill="1" applyBorder="1" applyAlignment="1">
      <alignment horizontal="center"/>
    </xf>
    <xf numFmtId="0" fontId="5" fillId="2" borderId="22" xfId="0" applyFont="1" applyFill="1" applyBorder="1"/>
    <xf numFmtId="0" fontId="1" fillId="2" borderId="23" xfId="0" applyFont="1" applyFill="1" applyBorder="1" applyAlignment="1">
      <alignment horizontal="right" indent="1"/>
    </xf>
    <xf numFmtId="0" fontId="1" fillId="2" borderId="24" xfId="0" applyFont="1" applyFill="1" applyBorder="1" applyAlignment="1">
      <alignment horizontal="right" indent="1"/>
    </xf>
    <xf numFmtId="0" fontId="0" fillId="0" borderId="25" xfId="0" applyBorder="1" applyAlignment="1">
      <alignment horizontal="left"/>
    </xf>
    <xf numFmtId="0" fontId="0" fillId="0" borderId="25" xfId="0" applyBorder="1"/>
    <xf numFmtId="0" fontId="1" fillId="0" borderId="27" xfId="0" applyFont="1" applyBorder="1"/>
    <xf numFmtId="164" fontId="1" fillId="0" borderId="28" xfId="0" applyNumberFormat="1" applyFont="1" applyBorder="1" applyAlignment="1">
      <alignment horizontal="right" indent="1"/>
    </xf>
    <xf numFmtId="164" fontId="1" fillId="0" borderId="29" xfId="0" applyNumberFormat="1" applyFont="1" applyBorder="1" applyAlignment="1">
      <alignment horizontal="right" indent="1"/>
    </xf>
    <xf numFmtId="166" fontId="0" fillId="0" borderId="0" xfId="0" applyNumberFormat="1" applyAlignment="1">
      <alignment horizontal="right" indent="1"/>
    </xf>
    <xf numFmtId="0" fontId="0" fillId="0" borderId="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6" xfId="0" applyFill="1" applyBorder="1"/>
    <xf numFmtId="0" fontId="0" fillId="3" borderId="37" xfId="0" applyFill="1" applyBorder="1"/>
    <xf numFmtId="0" fontId="0" fillId="3" borderId="3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" fillId="3" borderId="37" xfId="0" applyFont="1" applyFill="1" applyBorder="1"/>
    <xf numFmtId="0" fontId="1" fillId="3" borderId="38" xfId="0" applyFont="1" applyFill="1" applyBorder="1"/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 indent="1"/>
    </xf>
    <xf numFmtId="164" fontId="0" fillId="0" borderId="26" xfId="0" applyNumberFormat="1" applyFill="1" applyBorder="1" applyAlignment="1">
      <alignment horizontal="right" indent="1"/>
    </xf>
    <xf numFmtId="0" fontId="0" fillId="0" borderId="26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indent="1"/>
    </xf>
    <xf numFmtId="164" fontId="1" fillId="0" borderId="26" xfId="0" applyNumberFormat="1" applyFont="1" applyFill="1" applyBorder="1" applyAlignment="1">
      <alignment horizontal="right" indent="1"/>
    </xf>
    <xf numFmtId="164" fontId="1" fillId="0" borderId="28" xfId="0" applyNumberFormat="1" applyFont="1" applyFill="1" applyBorder="1" applyAlignment="1">
      <alignment horizontal="right" indent="1"/>
    </xf>
    <xf numFmtId="164" fontId="1" fillId="0" borderId="29" xfId="0" applyNumberFormat="1" applyFont="1" applyFill="1" applyBorder="1" applyAlignment="1">
      <alignment horizontal="right" indent="1"/>
    </xf>
    <xf numFmtId="0" fontId="0" fillId="0" borderId="43" xfId="0" applyFill="1" applyBorder="1"/>
    <xf numFmtId="0" fontId="1" fillId="0" borderId="43" xfId="0" applyFont="1" applyFill="1" applyBorder="1"/>
    <xf numFmtId="0" fontId="0" fillId="0" borderId="42" xfId="0" applyFill="1" applyBorder="1"/>
    <xf numFmtId="0" fontId="0" fillId="3" borderId="39" xfId="0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right" indent="1"/>
    </xf>
    <xf numFmtId="164" fontId="0" fillId="6" borderId="26" xfId="0" applyNumberFormat="1" applyFill="1" applyBorder="1" applyAlignment="1">
      <alignment horizontal="right" indent="1"/>
    </xf>
    <xf numFmtId="165" fontId="0" fillId="6" borderId="0" xfId="0" applyNumberFormat="1" applyFill="1" applyAlignment="1">
      <alignment horizontal="right" indent="1"/>
    </xf>
    <xf numFmtId="3" fontId="0" fillId="6" borderId="0" xfId="0" applyNumberFormat="1" applyFill="1" applyAlignment="1">
      <alignment horizontal="right" indent="1"/>
    </xf>
    <xf numFmtId="0" fontId="0" fillId="6" borderId="0" xfId="0" applyFill="1" applyAlignment="1">
      <alignment horizontal="center"/>
    </xf>
    <xf numFmtId="0" fontId="5" fillId="7" borderId="22" xfId="0" applyFont="1" applyFill="1" applyBorder="1"/>
    <xf numFmtId="0" fontId="0" fillId="7" borderId="0" xfId="0" applyFill="1"/>
    <xf numFmtId="0" fontId="0" fillId="0" borderId="0" xfId="0" applyBorder="1"/>
    <xf numFmtId="0" fontId="0" fillId="0" borderId="26" xfId="0" applyBorder="1"/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22" xfId="0" applyFont="1" applyFill="1" applyBorder="1"/>
    <xf numFmtId="164" fontId="0" fillId="0" borderId="2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165" fontId="0" fillId="7" borderId="26" xfId="0" applyNumberFormat="1" applyFill="1" applyBorder="1" applyAlignment="1">
      <alignment horizontal="center"/>
    </xf>
    <xf numFmtId="165" fontId="0" fillId="7" borderId="29" xfId="0" applyNumberFormat="1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164" fontId="0" fillId="7" borderId="29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7" xfId="0" applyFill="1" applyBorder="1"/>
    <xf numFmtId="164" fontId="1" fillId="0" borderId="23" xfId="0" applyNumberFormat="1" applyFont="1" applyFill="1" applyBorder="1" applyAlignment="1">
      <alignment horizontal="right" indent="1"/>
    </xf>
    <xf numFmtId="164" fontId="1" fillId="0" borderId="24" xfId="0" applyNumberFormat="1" applyFont="1" applyFill="1" applyBorder="1" applyAlignment="1">
      <alignment horizontal="right" indent="1"/>
    </xf>
    <xf numFmtId="0" fontId="1" fillId="0" borderId="47" xfId="0" applyFont="1" applyFill="1" applyBorder="1"/>
    <xf numFmtId="0" fontId="2" fillId="4" borderId="48" xfId="0" applyFont="1" applyFill="1" applyBorder="1" applyAlignment="1">
      <alignment horizontal="right"/>
    </xf>
    <xf numFmtId="165" fontId="0" fillId="4" borderId="49" xfId="0" applyNumberFormat="1" applyFont="1" applyFill="1" applyBorder="1" applyAlignment="1">
      <alignment horizontal="right" indent="1"/>
    </xf>
    <xf numFmtId="165" fontId="0" fillId="4" borderId="50" xfId="0" applyNumberFormat="1" applyFont="1" applyFill="1" applyBorder="1" applyAlignment="1">
      <alignment horizontal="right" indent="1"/>
    </xf>
    <xf numFmtId="0" fontId="1" fillId="4" borderId="30" xfId="0" applyFont="1" applyFill="1" applyBorder="1" applyAlignment="1">
      <alignment horizontal="left"/>
    </xf>
    <xf numFmtId="0" fontId="0" fillId="8" borderId="34" xfId="0" applyFont="1" applyFill="1" applyBorder="1" applyAlignment="1">
      <alignment horizontal="center"/>
    </xf>
    <xf numFmtId="164" fontId="0" fillId="8" borderId="34" xfId="0" applyNumberFormat="1" applyFont="1" applyFill="1" applyBorder="1" applyAlignment="1">
      <alignment horizontal="center"/>
    </xf>
    <xf numFmtId="164" fontId="0" fillId="8" borderId="35" xfId="0" applyNumberFormat="1" applyFont="1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164" fontId="0" fillId="7" borderId="35" xfId="0" applyNumberFormat="1" applyFill="1" applyBorder="1" applyAlignment="1">
      <alignment horizontal="center"/>
    </xf>
    <xf numFmtId="164" fontId="0" fillId="7" borderId="52" xfId="0" applyNumberForma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54" xfId="0" applyBorder="1"/>
    <xf numFmtId="0" fontId="2" fillId="0" borderId="54" xfId="0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0" xfId="0" applyNumberFormat="1"/>
    <xf numFmtId="165" fontId="0" fillId="4" borderId="57" xfId="0" applyNumberFormat="1" applyFill="1" applyBorder="1" applyAlignment="1">
      <alignment horizontal="center"/>
    </xf>
    <xf numFmtId="0" fontId="0" fillId="4" borderId="22" xfId="0" applyFill="1" applyBorder="1" applyAlignment="1">
      <alignment horizontal="left"/>
    </xf>
    <xf numFmtId="0" fontId="0" fillId="4" borderId="58" xfId="0" applyFill="1" applyBorder="1" applyAlignment="1"/>
    <xf numFmtId="0" fontId="2" fillId="4" borderId="59" xfId="0" applyFont="1" applyFill="1" applyBorder="1" applyAlignment="1">
      <alignment horizontal="right"/>
    </xf>
    <xf numFmtId="165" fontId="0" fillId="4" borderId="7" xfId="0" applyNumberFormat="1" applyFont="1" applyFill="1" applyBorder="1" applyAlignment="1">
      <alignment horizontal="right" indent="1"/>
    </xf>
    <xf numFmtId="165" fontId="0" fillId="0" borderId="0" xfId="0" applyNumberFormat="1" applyFill="1" applyAlignment="1">
      <alignment horizontal="right" inden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 indent="1"/>
    </xf>
    <xf numFmtId="3" fontId="1" fillId="0" borderId="0" xfId="0" applyNumberFormat="1" applyFont="1" applyAlignment="1">
      <alignment horizontal="center"/>
    </xf>
    <xf numFmtId="0" fontId="0" fillId="0" borderId="0" xfId="0" applyFont="1"/>
    <xf numFmtId="0" fontId="0" fillId="4" borderId="27" xfId="0" applyFill="1" applyBorder="1" applyAlignment="1">
      <alignment horizontal="left"/>
    </xf>
    <xf numFmtId="0" fontId="0" fillId="4" borderId="56" xfId="0" applyFill="1" applyBorder="1" applyAlignment="1"/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4" borderId="44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1" fillId="5" borderId="44" xfId="0" applyFont="1" applyFill="1" applyBorder="1" applyAlignment="1"/>
    <xf numFmtId="0" fontId="1" fillId="0" borderId="45" xfId="0" applyFont="1" applyBorder="1" applyAlignment="1"/>
    <xf numFmtId="0" fontId="1" fillId="0" borderId="46" xfId="0" applyFont="1" applyBorder="1" applyAlignment="1"/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</cellXfs>
  <cellStyles count="1">
    <cellStyle name="Standaard" xfId="0" builtinId="0"/>
  </cellStyles>
  <dxfs count="4"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FFFFE5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426719</xdr:colOff>
      <xdr:row>0</xdr:row>
      <xdr:rowOff>60960</xdr:rowOff>
    </xdr:from>
    <xdr:to>
      <xdr:col>18</xdr:col>
      <xdr:colOff>55417</xdr:colOff>
      <xdr:row>20</xdr:row>
      <xdr:rowOff>30480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6EC569AE-7674-449A-BF84-6597C0C80D0D}"/>
            </a:ext>
          </a:extLst>
        </xdr:cNvPr>
        <xdr:cNvSpPr txBox="1"/>
      </xdr:nvSpPr>
      <xdr:spPr>
        <a:xfrm>
          <a:off x="7924799" y="60960"/>
          <a:ext cx="5374178" cy="3710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Wat</a:t>
          </a:r>
          <a:r>
            <a:rPr lang="nl-NL" sz="1100" b="1" baseline="0"/>
            <a:t> kost het?</a:t>
          </a:r>
        </a:p>
        <a:p>
          <a:r>
            <a:rPr lang="nl-NL" sz="1100" b="1" baseline="0"/>
            <a:t>1.  kosten per rijtijd (abonnement)</a:t>
          </a:r>
        </a:p>
        <a:p>
          <a:r>
            <a:rPr lang="nl-NL" sz="1100" b="1" baseline="0"/>
            <a:t>2.  kosten per km (inclusief de kosten voor het opladen)</a:t>
          </a:r>
        </a:p>
        <a:p>
          <a:endParaRPr lang="nl-NL" sz="1100" baseline="0"/>
        </a:p>
        <a:p>
          <a:r>
            <a:rPr lang="nl-NL" sz="1100" baseline="0"/>
            <a:t>Ad 1. Je sluit één van vijf maandabonnementen af. Voor een maandbedrag krijg je een aantal credits:    €89 /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€129 / €169 / €249 / €329</a:t>
          </a:r>
          <a:r>
            <a:rPr lang="nl-NL" sz="1100" baseline="0"/>
            <a:t>  --&gt;  </a:t>
          </a:r>
          <a:r>
            <a:rPr lang="nl-NL" sz="1100" i="1" baseline="0"/>
            <a:t>credits: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96 / 144 / 192 / 288 / 384</a:t>
          </a:r>
          <a:endParaRPr lang="nl-NL" sz="1100" i="1" baseline="0"/>
        </a:p>
        <a:p>
          <a:r>
            <a:rPr lang="nl-NL" sz="1100" baseline="0"/>
            <a:t>1 uur kost een aantal credits, afhankelijk van het tijdstip de de dag: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tussen 07 - 18u:</a:t>
          </a:r>
          <a:r>
            <a:rPr lang="nl-NL"/>
            <a:t> </a:t>
          </a:r>
          <a:r>
            <a:rPr lang="nl-NL" baseline="0"/>
            <a:t> 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credits (c), 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18 - 21u:</a:t>
          </a:r>
          <a:r>
            <a:rPr lang="nl-NL"/>
            <a:t>  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nl-NL"/>
            <a:t> c,</a:t>
          </a:r>
          <a:r>
            <a:rPr lang="nl-NL" baseline="0"/>
            <a:t>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21 - 23u:  </a:t>
          </a:r>
          <a:r>
            <a:rPr lang="nl-NL"/>
            <a:t>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0,5 c,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23 - 07u:  </a:t>
          </a:r>
          <a:r>
            <a:rPr lang="nl-NL"/>
            <a:t>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0,25 c</a:t>
          </a:r>
          <a:r>
            <a:rPr lang="nl-NL"/>
            <a:t> </a:t>
          </a:r>
        </a:p>
        <a:p>
          <a:endParaRPr lang="nl-NL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middeling gebeurt per kwartaal, dus je mag een maand iets meer gebruiken en een andere maand iets minder.</a:t>
          </a:r>
          <a:br>
            <a:rPr lang="nl-NL"/>
          </a:br>
          <a:endParaRPr lang="nl-NL" sz="1100" baseline="0"/>
        </a:p>
        <a:p>
          <a:r>
            <a:rPr lang="nl-NL" sz="1100" baseline="0"/>
            <a:t>Ad 2. Kosten voor gereden km's afhankelijk van het type auto:</a:t>
          </a:r>
        </a:p>
        <a:p>
          <a:r>
            <a:rPr lang="nl-NL" sz="1100" baseline="0"/>
            <a:t>Renault Zoe, Hyundai Kona: 	 €0,22 per km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Tesla Model 3,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Hyundai IONIQ5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 €0,26 per km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Zie: https://www.wedrivesolar.nl/abonnementen.html</a:t>
          </a:r>
          <a:endParaRPr lang="nl-NL">
            <a:effectLst/>
          </a:endParaRPr>
        </a:p>
        <a:p>
          <a:endParaRPr lang="nl-NL" sz="1100" baseline="0"/>
        </a:p>
        <a:p>
          <a:r>
            <a:rPr lang="nl-NL" sz="1100" baseline="0"/>
            <a:t>En je betaalt per maand een (parkeerbedrag per auto: €2,50. Die heb ik verwaarloosd.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scenario aannames gedaan hiernaast staan in de groene vakken.</a:t>
          </a:r>
          <a:endParaRPr lang="nl-NL" b="1">
            <a:effectLst/>
          </a:endParaRPr>
        </a:p>
      </xdr:txBody>
    </xdr:sp>
    <xdr:clientData/>
  </xdr:twoCellAnchor>
  <xdr:twoCellAnchor>
    <xdr:from>
      <xdr:col>0</xdr:col>
      <xdr:colOff>60960</xdr:colOff>
      <xdr:row>11</xdr:row>
      <xdr:rowOff>60960</xdr:rowOff>
    </xdr:from>
    <xdr:to>
      <xdr:col>9</xdr:col>
      <xdr:colOff>601980</xdr:colOff>
      <xdr:row>20</xdr:row>
      <xdr:rowOff>83820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9E282404-986E-427C-93AD-65EF8FAD3CC2}"/>
            </a:ext>
          </a:extLst>
        </xdr:cNvPr>
        <xdr:cNvSpPr txBox="1"/>
      </xdr:nvSpPr>
      <xdr:spPr>
        <a:xfrm>
          <a:off x="60960" y="2156460"/>
          <a:ext cx="74295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Hieronder 4 gebruiksscenario's. Voor het gemak</a:t>
          </a:r>
          <a:r>
            <a:rPr lang="nl-NL" sz="1100" baseline="0"/>
            <a:t> gaan we uit van alleen een Renault Zoe en gebruiken we die alleen tussen 7 en 18u, hetgeen 2 credits per uur kost, dus de "duurste" variant.</a:t>
          </a:r>
        </a:p>
        <a:p>
          <a:endParaRPr lang="nl-NL" sz="1100" baseline="0"/>
        </a:p>
        <a:p>
          <a:r>
            <a:rPr lang="nl-NL" sz="1100" baseline="0"/>
            <a:t>A: Heel weinig: 1x per week, 2 uur per keer, 30 km per keer --&gt; per maand: 8 uur=16 credits en 120 km.      Per jaar: 960 km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/>
            <a:t>B: Weinig:         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2x per week, 3 uur per keer, 30 km per keer --&gt; per maand: 24 uur=48 credits en 240 km.   Per jaar:  960 km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Weinig:          3x per week, 4 uur per keer, 50 km per keer --&gt; per maand: 48 uur=96 credits en 600 km.   Per jaar 7200 km</a:t>
          </a:r>
          <a:endParaRPr lang="nl-NL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Weinig:          4x per week, 4 uur per keer, 50 km per keer --&gt; per maand: 64 uur=128 credits en 800 km. Per jaar 9600 km</a:t>
          </a:r>
          <a:endParaRPr lang="nl-NL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>
            <a:effectLst/>
          </a:endParaRPr>
        </a:p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426719</xdr:colOff>
      <xdr:row>0</xdr:row>
      <xdr:rowOff>60960</xdr:rowOff>
    </xdr:from>
    <xdr:to>
      <xdr:col>16</xdr:col>
      <xdr:colOff>205740</xdr:colOff>
      <xdr:row>12</xdr:row>
      <xdr:rowOff>167640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33B35C9-0045-4ABF-8D00-D085F40FA27D}"/>
            </a:ext>
          </a:extLst>
        </xdr:cNvPr>
        <xdr:cNvSpPr txBox="1"/>
      </xdr:nvSpPr>
      <xdr:spPr>
        <a:xfrm>
          <a:off x="7360919" y="60960"/>
          <a:ext cx="4053841" cy="3299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Wat</a:t>
          </a:r>
          <a:r>
            <a:rPr lang="nl-NL" sz="1100" b="1" baseline="0"/>
            <a:t> kost het?</a:t>
          </a:r>
        </a:p>
        <a:p>
          <a:r>
            <a:rPr lang="nl-NL" sz="1100" b="1" baseline="0"/>
            <a:t>1.  Kosten per rijtijd = per uur</a:t>
          </a:r>
        </a:p>
        <a:p>
          <a:r>
            <a:rPr lang="nl-NL" sz="1100" b="1" baseline="0"/>
            <a:t>2.  Kosten per km (inclusief de kosten voor het opladen)</a:t>
          </a:r>
        </a:p>
        <a:p>
          <a:r>
            <a:rPr lang="nl-NL" sz="1100" b="1" baseline="0"/>
            <a:t>3.  Kosten voor opladen?</a:t>
          </a:r>
        </a:p>
        <a:p>
          <a:endParaRPr lang="nl-NL" sz="1100" baseline="0"/>
        </a:p>
        <a:p>
          <a:r>
            <a:rPr lang="nl-NL" sz="1100" baseline="0"/>
            <a:t>Ad 1. Er zijn 3 modellen die resp. 3,00, 3,50 en 4,00 per uur kosten</a:t>
          </a:r>
          <a:endParaRPr lang="nl-NL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 baseline="0"/>
        </a:p>
        <a:p>
          <a:r>
            <a:rPr lang="nl-NL" sz="1100" baseline="0"/>
            <a:t>Ad 2. Kosten voor gereden km's afhankelijk van het type auto:</a:t>
          </a:r>
        </a:p>
        <a:p>
          <a:r>
            <a:rPr lang="nl-NL" sz="1100" baseline="0"/>
            <a:t>Skoda CITIGoe: €0,27 per km</a:t>
          </a:r>
        </a:p>
        <a:p>
          <a:r>
            <a:rPr lang="nl-NL" sz="1100" baseline="0"/>
            <a:t>Renault Zoe:    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€0,30 per km</a:t>
          </a:r>
          <a:endParaRPr lang="nl-NL" sz="1100" baseline="0"/>
        </a:p>
        <a:p>
          <a:r>
            <a:rPr lang="nl-NL" sz="1100" baseline="0"/>
            <a:t>Hyundai Kona:  €0,33 per km</a:t>
          </a:r>
        </a:p>
        <a:p>
          <a:endParaRPr lang="nl-NL" sz="1100" baseline="0"/>
        </a:p>
        <a:p>
          <a:r>
            <a:rPr lang="nl-NL" sz="1100" baseline="0"/>
            <a:t>Bedrag per maand?</a:t>
          </a:r>
          <a:endParaRPr lang="nl-NL" b="1">
            <a:effectLst/>
          </a:endParaRPr>
        </a:p>
      </xdr:txBody>
    </xdr:sp>
    <xdr:clientData/>
  </xdr:twoCellAnchor>
  <xdr:twoCellAnchor>
    <xdr:from>
      <xdr:col>0</xdr:col>
      <xdr:colOff>60960</xdr:colOff>
      <xdr:row>6</xdr:row>
      <xdr:rowOff>60960</xdr:rowOff>
    </xdr:from>
    <xdr:to>
      <xdr:col>8</xdr:col>
      <xdr:colOff>601980</xdr:colOff>
      <xdr:row>12</xdr:row>
      <xdr:rowOff>175260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27079C71-5281-468C-8C6D-60A83EF7EAA3}"/>
            </a:ext>
          </a:extLst>
        </xdr:cNvPr>
        <xdr:cNvSpPr txBox="1"/>
      </xdr:nvSpPr>
      <xdr:spPr>
        <a:xfrm>
          <a:off x="60960" y="2156460"/>
          <a:ext cx="7429500" cy="1211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Hieronder 4 gebruiksscenario's. Voor het gemak</a:t>
          </a:r>
          <a:r>
            <a:rPr lang="nl-NL" sz="1100" baseline="0"/>
            <a:t> gaan we uit van alleen een Skoda.</a:t>
          </a:r>
        </a:p>
        <a:p>
          <a:endParaRPr lang="nl-NL" sz="1100" baseline="0"/>
        </a:p>
        <a:p>
          <a:r>
            <a:rPr lang="nl-NL" sz="1100" baseline="0"/>
            <a:t>A: Heel weinig: 1x per week, 2 uur per keer, 30 km per keer --&gt; per maand: 8 uur en 120 km.      Per jaar: 960 km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/>
            <a:t>B: Weinig:         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2x per week, 3 uur per keer, 30 km per keer --&gt; per maand: 24 uur en 240 km.   Per jaar:  960 km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Weinig:          3x per week, 4 uur per keer, 50 km per keer --&gt; per maand: 48 uur en 600 km.   Per jaar 7200 km</a:t>
          </a:r>
          <a:endParaRPr lang="nl-NL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Weinig:          4x per week, 4 uur per keer, 50 km per keer --&gt; per maand: 64 uur en 800 km.  Per jaar 9600 km</a:t>
          </a:r>
          <a:endParaRPr lang="nl-NL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>
            <a:effectLst/>
          </a:endParaRPr>
        </a:p>
        <a:p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388620</xdr:colOff>
      <xdr:row>0</xdr:row>
      <xdr:rowOff>60960</xdr:rowOff>
    </xdr:from>
    <xdr:to>
      <xdr:col>19</xdr:col>
      <xdr:colOff>99060</xdr:colOff>
      <xdr:row>21</xdr:row>
      <xdr:rowOff>152400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CD250C1-F68D-4697-866B-9BD106597F8F}"/>
            </a:ext>
          </a:extLst>
        </xdr:cNvPr>
        <xdr:cNvSpPr txBox="1"/>
      </xdr:nvSpPr>
      <xdr:spPr>
        <a:xfrm>
          <a:off x="7117080" y="60960"/>
          <a:ext cx="5844540" cy="399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Wat</a:t>
          </a:r>
          <a:r>
            <a:rPr lang="nl-NL" sz="1100" b="1" baseline="0"/>
            <a:t> kost het?</a:t>
          </a:r>
        </a:p>
        <a:p>
          <a:endParaRPr lang="nl-NL" sz="1100" baseline="0"/>
        </a:p>
        <a:p>
          <a:r>
            <a:rPr lang="nl-NL" sz="1100" baseline="0"/>
            <a:t>In geval van een eigen auto is er sprake van vaste kosten (per maand of per jaar) en variabele kosten per gereden km.</a:t>
          </a:r>
        </a:p>
        <a:p>
          <a:r>
            <a:rPr lang="nl-NL" sz="1100" baseline="0"/>
            <a:t>De onderhoudskosten zijn deels vast en deels afhankelijk van het gebruik, maar voor het gemak heb ik die beschouwd als vaste kosten per jaar:</a:t>
          </a:r>
        </a:p>
        <a:p>
          <a:endParaRPr lang="nl-NL" sz="1100" baseline="0"/>
        </a:p>
        <a:p>
          <a:r>
            <a:rPr lang="nl-NL" sz="1100" b="1" baseline="0"/>
            <a:t>Vaste kosten:</a:t>
          </a:r>
        </a:p>
        <a:p>
          <a:r>
            <a:rPr lang="nl-NL" sz="1100" baseline="0"/>
            <a:t>- Afschrijving per jaar</a:t>
          </a:r>
        </a:p>
        <a:p>
          <a:r>
            <a:rPr lang="nl-NL" sz="1100" baseline="0"/>
            <a:t>- WA verzekering (beperkt casco)</a:t>
          </a:r>
        </a:p>
        <a:p>
          <a:r>
            <a:rPr lang="nl-NL" sz="1100" baseline="0"/>
            <a:t>- Motorrijtuigenbelasting = wegenbelasting</a:t>
          </a:r>
        </a:p>
        <a:p>
          <a:r>
            <a:rPr lang="nl-NL" sz="1100" baseline="0"/>
            <a:t>- Onderhoudskosten</a:t>
          </a:r>
        </a:p>
        <a:p>
          <a:endParaRPr lang="nl-NL" sz="1100" baseline="0"/>
        </a:p>
        <a:p>
          <a:r>
            <a:rPr lang="nl-NL" sz="1100" baseline="0"/>
            <a:t>De variabele kosten zijn de brandstof- (benzine)kosten per gerede kilometer. Dezelfde gebruiksscenario's (A/B/C/D) zijn hier gebruikt als bij de deelauto in het eerste tab.</a:t>
          </a:r>
        </a:p>
        <a:p>
          <a:endParaRPr lang="nl-NL" sz="1100" baseline="0"/>
        </a:p>
        <a:p>
          <a:r>
            <a:rPr lang="nl-NL" sz="1100" baseline="0"/>
            <a:t>Ik maak onderscheid tussen een kleine, middelgrote en grote auto, met verschillen in afschrijving, verzekering, wegenbelasting en onderhoud EN in verbruik.</a:t>
          </a:r>
        </a:p>
        <a:p>
          <a:endParaRPr lang="nl-NL" sz="1100" baseline="0"/>
        </a:p>
        <a:p>
          <a:r>
            <a:rPr lang="nl-NL" sz="1100" b="1" baseline="0"/>
            <a:t>De aannames gedaan hiernaast staan in de groene vakken.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85A9-D6F4-40CA-BB47-9B5DB5A023B9}">
  <dimension ref="A1:U42"/>
  <sheetViews>
    <sheetView tabSelected="1" zoomScale="110" zoomScaleNormal="110" workbookViewId="0"/>
  </sheetViews>
  <sheetFormatPr defaultRowHeight="14.4" x14ac:dyDescent="0.3"/>
  <cols>
    <col min="1" max="1" width="31.21875" customWidth="1"/>
    <col min="2" max="3" width="9.77734375" customWidth="1"/>
    <col min="4" max="4" width="9.77734375" style="2" customWidth="1"/>
    <col min="5" max="6" width="9.77734375" customWidth="1"/>
    <col min="9" max="9" width="10.33203125" customWidth="1"/>
    <col min="11" max="11" width="13.109375" customWidth="1"/>
    <col min="14" max="14" width="13.109375" customWidth="1"/>
    <col min="17" max="17" width="4.77734375" customWidth="1"/>
    <col min="18" max="18" width="17.21875" customWidth="1"/>
    <col min="19" max="19" width="12.21875" style="2" customWidth="1"/>
    <col min="20" max="20" width="12.6640625" style="2" customWidth="1"/>
    <col min="21" max="21" width="12.44140625" style="2" customWidth="1"/>
  </cols>
  <sheetData>
    <row r="1" spans="1:11" ht="18.600000000000001" thickBot="1" x14ac:dyDescent="0.4">
      <c r="A1" s="17" t="s">
        <v>72</v>
      </c>
      <c r="B1" s="18"/>
      <c r="C1" s="18"/>
      <c r="D1" s="19"/>
      <c r="E1" s="18"/>
      <c r="F1" s="18"/>
      <c r="G1" s="18"/>
      <c r="H1" s="18"/>
      <c r="I1" s="18"/>
      <c r="J1" s="18"/>
      <c r="K1" s="18"/>
    </row>
    <row r="2" spans="1:11" ht="15" thickBot="1" x14ac:dyDescent="0.35">
      <c r="A2" s="46" t="s">
        <v>31</v>
      </c>
      <c r="B2" s="47" t="s">
        <v>6</v>
      </c>
      <c r="C2" s="47" t="s">
        <v>1</v>
      </c>
      <c r="D2" s="47" t="s">
        <v>2</v>
      </c>
      <c r="E2" s="47" t="s">
        <v>3</v>
      </c>
      <c r="F2" s="36" t="s">
        <v>4</v>
      </c>
      <c r="G2" s="39"/>
      <c r="H2" s="154"/>
      <c r="I2" s="155"/>
      <c r="J2" s="156" t="s">
        <v>18</v>
      </c>
    </row>
    <row r="3" spans="1:11" x14ac:dyDescent="0.3">
      <c r="A3" s="48" t="s">
        <v>5</v>
      </c>
      <c r="B3" s="37">
        <v>4</v>
      </c>
      <c r="C3" s="37">
        <v>6</v>
      </c>
      <c r="D3" s="37">
        <v>8</v>
      </c>
      <c r="E3" s="37">
        <v>12</v>
      </c>
      <c r="F3" s="49">
        <v>16</v>
      </c>
      <c r="G3" s="40"/>
      <c r="H3" s="52" t="s">
        <v>15</v>
      </c>
      <c r="I3" s="53"/>
      <c r="J3" s="157">
        <v>0.25</v>
      </c>
    </row>
    <row r="4" spans="1:11" x14ac:dyDescent="0.3">
      <c r="A4" s="32" t="s">
        <v>32</v>
      </c>
      <c r="B4" s="25">
        <v>96</v>
      </c>
      <c r="C4" s="25">
        <v>144</v>
      </c>
      <c r="D4" s="25">
        <v>192</v>
      </c>
      <c r="E4" s="25">
        <v>288</v>
      </c>
      <c r="F4" s="33">
        <v>384</v>
      </c>
      <c r="G4" s="40"/>
      <c r="H4" s="54" t="s">
        <v>16</v>
      </c>
      <c r="I4" s="55"/>
      <c r="J4" s="29">
        <v>0.25</v>
      </c>
    </row>
    <row r="5" spans="1:11" x14ac:dyDescent="0.3">
      <c r="A5" s="50" t="s">
        <v>33</v>
      </c>
      <c r="B5" s="38">
        <v>99</v>
      </c>
      <c r="C5" s="38">
        <v>139</v>
      </c>
      <c r="D5" s="38">
        <v>179</v>
      </c>
      <c r="E5" s="38">
        <v>259</v>
      </c>
      <c r="F5" s="51">
        <v>339</v>
      </c>
      <c r="G5" s="40"/>
      <c r="H5" s="54" t="s">
        <v>17</v>
      </c>
      <c r="I5" s="55"/>
      <c r="J5" s="29">
        <v>0.3</v>
      </c>
    </row>
    <row r="6" spans="1:11" ht="15" thickBot="1" x14ac:dyDescent="0.35">
      <c r="A6" s="58" t="s">
        <v>34</v>
      </c>
      <c r="B6" s="59">
        <f>B4/B5</f>
        <v>0.96969696969696972</v>
      </c>
      <c r="C6" s="59">
        <f t="shared" ref="C6:F6" si="0">C4/C5</f>
        <v>1.0359712230215827</v>
      </c>
      <c r="D6" s="59">
        <f t="shared" si="0"/>
        <v>1.0726256983240223</v>
      </c>
      <c r="E6" s="59">
        <f t="shared" si="0"/>
        <v>1.111969111969112</v>
      </c>
      <c r="F6" s="60">
        <f t="shared" si="0"/>
        <v>1.1327433628318584</v>
      </c>
      <c r="G6" s="40"/>
      <c r="H6" s="56" t="s">
        <v>80</v>
      </c>
      <c r="I6" s="57"/>
      <c r="J6" s="30">
        <v>0.3</v>
      </c>
    </row>
    <row r="7" spans="1:11" ht="15" thickBot="1" x14ac:dyDescent="0.35">
      <c r="A7" s="41" t="s">
        <v>19</v>
      </c>
      <c r="B7" s="42" t="s">
        <v>20</v>
      </c>
      <c r="C7" s="43"/>
      <c r="D7" s="22" t="s">
        <v>35</v>
      </c>
      <c r="E7" s="45"/>
      <c r="F7" s="44"/>
      <c r="G7" s="20"/>
      <c r="H7" s="163" t="s">
        <v>25</v>
      </c>
      <c r="I7" s="164"/>
      <c r="J7" s="153">
        <v>2.5</v>
      </c>
    </row>
    <row r="8" spans="1:11" x14ac:dyDescent="0.3">
      <c r="A8" s="32" t="s">
        <v>21</v>
      </c>
      <c r="B8" s="33">
        <v>2</v>
      </c>
      <c r="C8" s="31"/>
      <c r="D8" s="22"/>
      <c r="E8" s="24"/>
      <c r="F8" s="21"/>
      <c r="G8" s="26"/>
      <c r="H8" s="27"/>
      <c r="I8" s="27"/>
      <c r="J8" s="27"/>
    </row>
    <row r="9" spans="1:11" x14ac:dyDescent="0.3">
      <c r="A9" s="32" t="s">
        <v>22</v>
      </c>
      <c r="B9" s="33">
        <v>1</v>
      </c>
      <c r="C9" s="31"/>
      <c r="D9" s="21"/>
      <c r="E9" s="24"/>
      <c r="F9" s="21"/>
      <c r="G9" s="20"/>
      <c r="H9" s="27"/>
      <c r="I9" s="27"/>
      <c r="J9" s="27"/>
    </row>
    <row r="10" spans="1:11" x14ac:dyDescent="0.3">
      <c r="A10" s="32" t="s">
        <v>24</v>
      </c>
      <c r="B10" s="33">
        <v>0.5</v>
      </c>
      <c r="C10" s="31"/>
      <c r="D10" s="21"/>
      <c r="E10" s="24"/>
      <c r="F10" s="21"/>
      <c r="G10" s="20"/>
      <c r="H10" s="20"/>
      <c r="I10" s="20"/>
      <c r="J10" s="20"/>
    </row>
    <row r="11" spans="1:11" ht="15" thickBot="1" x14ac:dyDescent="0.35">
      <c r="A11" s="34" t="s">
        <v>23</v>
      </c>
      <c r="B11" s="35">
        <v>0.25</v>
      </c>
      <c r="C11" s="31"/>
      <c r="D11" s="21"/>
      <c r="E11" s="21"/>
      <c r="F11" s="21"/>
      <c r="G11" s="20"/>
      <c r="H11" s="22"/>
      <c r="I11" s="20"/>
      <c r="J11" s="23"/>
    </row>
    <row r="12" spans="1:11" x14ac:dyDescent="0.3">
      <c r="B12" s="2"/>
      <c r="C12" s="2"/>
      <c r="E12" s="2"/>
      <c r="F12" s="2"/>
    </row>
    <row r="19" spans="1:15" x14ac:dyDescent="0.3">
      <c r="A19" s="1"/>
      <c r="B19" s="7"/>
      <c r="C19" s="7"/>
      <c r="D19" s="7"/>
    </row>
    <row r="20" spans="1:15" x14ac:dyDescent="0.3">
      <c r="A20" s="1"/>
      <c r="B20" s="7"/>
      <c r="C20" s="7"/>
      <c r="D20" s="7"/>
    </row>
    <row r="21" spans="1:15" ht="15" thickBot="1" x14ac:dyDescent="0.35">
      <c r="A21" s="3"/>
      <c r="B21" s="6"/>
      <c r="C21" s="6"/>
      <c r="D21" s="6"/>
    </row>
    <row r="22" spans="1:15" x14ac:dyDescent="0.3">
      <c r="B22" s="6"/>
      <c r="C22" s="6"/>
      <c r="D22" s="6"/>
      <c r="F22" s="165" t="s">
        <v>62</v>
      </c>
      <c r="G22" s="166"/>
      <c r="H22" s="167"/>
      <c r="I22" s="165" t="s">
        <v>61</v>
      </c>
      <c r="J22" s="167"/>
      <c r="K22" s="66" t="s">
        <v>36</v>
      </c>
      <c r="L22" s="165" t="s">
        <v>63</v>
      </c>
      <c r="M22" s="168"/>
      <c r="O22" s="137" t="s">
        <v>70</v>
      </c>
    </row>
    <row r="23" spans="1:15" x14ac:dyDescent="0.3">
      <c r="A23" s="1" t="s">
        <v>26</v>
      </c>
      <c r="B23" s="2" t="s">
        <v>8</v>
      </c>
      <c r="C23" s="2" t="s">
        <v>27</v>
      </c>
      <c r="D23" s="2" t="s">
        <v>20</v>
      </c>
      <c r="E23" s="2" t="s">
        <v>9</v>
      </c>
      <c r="F23" s="61" t="s">
        <v>37</v>
      </c>
      <c r="G23" s="62" t="s">
        <v>20</v>
      </c>
      <c r="H23" s="124" t="s">
        <v>38</v>
      </c>
      <c r="I23" s="61" t="s">
        <v>9</v>
      </c>
      <c r="J23" s="124" t="s">
        <v>38</v>
      </c>
      <c r="K23" s="68" t="s">
        <v>38</v>
      </c>
      <c r="L23" s="67" t="s">
        <v>9</v>
      </c>
      <c r="M23" s="71" t="s">
        <v>38</v>
      </c>
      <c r="O23" s="138" t="s">
        <v>38</v>
      </c>
    </row>
    <row r="24" spans="1:15" x14ac:dyDescent="0.3">
      <c r="A24" s="147" t="s">
        <v>10</v>
      </c>
      <c r="B24" s="109">
        <v>1</v>
      </c>
      <c r="C24" s="109">
        <v>2</v>
      </c>
      <c r="D24" s="2">
        <f>2*C24</f>
        <v>4</v>
      </c>
      <c r="E24" s="109">
        <v>30</v>
      </c>
      <c r="F24" s="61">
        <f>B24*4*C24</f>
        <v>8</v>
      </c>
      <c r="G24" s="62">
        <f>F24*2</f>
        <v>16</v>
      </c>
      <c r="H24" s="127">
        <f>IF(G24&lt;=B$4,B$5,IF(G24&lt;C$4,C$5,IF(G24&lt;=D$4,D$5,IF(G24&lt;E$4,E$5,F$5))))</f>
        <v>99</v>
      </c>
      <c r="I24" s="61">
        <f>B24*4*E24</f>
        <v>120</v>
      </c>
      <c r="J24" s="125">
        <f>I24*J$3</f>
        <v>30</v>
      </c>
      <c r="K24" s="69">
        <f>H24+J24</f>
        <v>129</v>
      </c>
      <c r="L24" s="61">
        <f>12*I24</f>
        <v>1440</v>
      </c>
      <c r="M24" s="72">
        <f>12*K24</f>
        <v>1548</v>
      </c>
      <c r="O24" s="139">
        <f>MyWheels!K17</f>
        <v>864</v>
      </c>
    </row>
    <row r="25" spans="1:15" x14ac:dyDescent="0.3">
      <c r="A25" s="147" t="s">
        <v>11</v>
      </c>
      <c r="B25" s="109">
        <v>2</v>
      </c>
      <c r="C25" s="109">
        <v>3</v>
      </c>
      <c r="D25" s="2">
        <f t="shared" ref="D25:D27" si="1">2*C25</f>
        <v>6</v>
      </c>
      <c r="E25" s="109">
        <v>30</v>
      </c>
      <c r="F25" s="61">
        <f>B25*4*C25</f>
        <v>24</v>
      </c>
      <c r="G25" s="62">
        <f>F25*2</f>
        <v>48</v>
      </c>
      <c r="H25" s="127">
        <f>IF(G25&lt;=B$4,B$5,IF(G25&lt;C$4,C$5,IF(G25&lt;=D$4,D$5,IF(G25&lt;E$4,E$5,F$5))))</f>
        <v>99</v>
      </c>
      <c r="I25" s="61">
        <f>B25*4*E25</f>
        <v>240</v>
      </c>
      <c r="J25" s="125">
        <f>I25*J$3</f>
        <v>60</v>
      </c>
      <c r="K25" s="69">
        <f>H25+J25</f>
        <v>159</v>
      </c>
      <c r="L25" s="61">
        <f>12*I25</f>
        <v>2880</v>
      </c>
      <c r="M25" s="72">
        <f>12*K25</f>
        <v>1908</v>
      </c>
      <c r="O25" s="139">
        <f>MyWheels!K18</f>
        <v>2088</v>
      </c>
    </row>
    <row r="26" spans="1:15" x14ac:dyDescent="0.3">
      <c r="A26" s="147" t="s">
        <v>12</v>
      </c>
      <c r="B26" s="109">
        <v>3</v>
      </c>
      <c r="C26" s="109">
        <v>4</v>
      </c>
      <c r="D26" s="2">
        <f t="shared" si="1"/>
        <v>8</v>
      </c>
      <c r="E26" s="109">
        <v>50</v>
      </c>
      <c r="F26" s="61">
        <f>B26*4*C26</f>
        <v>48</v>
      </c>
      <c r="G26" s="62">
        <f t="shared" ref="G26:G27" si="2">F26*2</f>
        <v>96</v>
      </c>
      <c r="H26" s="127">
        <f>IF(G26&lt;=B$4,B$5,IF(G26&lt;C$4,C$5,IF(G26&lt;=D$4,D$5,IF(G26&lt;E$4,E$5,F$5))))</f>
        <v>99</v>
      </c>
      <c r="I26" s="61">
        <f>B26*4*E26</f>
        <v>600</v>
      </c>
      <c r="J26" s="125">
        <f>I26*J$3</f>
        <v>150</v>
      </c>
      <c r="K26" s="69">
        <f>H26+J26</f>
        <v>249</v>
      </c>
      <c r="L26" s="61">
        <f>12*I26</f>
        <v>7200</v>
      </c>
      <c r="M26" s="72">
        <f>12*K26</f>
        <v>2988</v>
      </c>
      <c r="O26" s="139">
        <f>MyWheels!K19</f>
        <v>4680</v>
      </c>
    </row>
    <row r="27" spans="1:15" ht="15" thickBot="1" x14ac:dyDescent="0.35">
      <c r="A27" s="147" t="s">
        <v>13</v>
      </c>
      <c r="B27" s="109">
        <v>4</v>
      </c>
      <c r="C27" s="109">
        <v>4</v>
      </c>
      <c r="D27" s="2">
        <f t="shared" si="1"/>
        <v>8</v>
      </c>
      <c r="E27" s="109">
        <v>50</v>
      </c>
      <c r="F27" s="64">
        <f>B27*4*C27</f>
        <v>64</v>
      </c>
      <c r="G27" s="65">
        <f t="shared" si="2"/>
        <v>128</v>
      </c>
      <c r="H27" s="128">
        <f>IF(G27&lt;=B$4,B$5,IF(G27&lt;C$4,C$5,IF(G27&lt;=D$4,D$5,IF(G27&lt;E$4,E$5,F$5))))</f>
        <v>139</v>
      </c>
      <c r="I27" s="64">
        <f>B27*4*E27</f>
        <v>800</v>
      </c>
      <c r="J27" s="126">
        <f>I27*J$3</f>
        <v>200</v>
      </c>
      <c r="K27" s="70">
        <f>H27+J27</f>
        <v>339</v>
      </c>
      <c r="L27" s="64">
        <f>12*I27</f>
        <v>9600</v>
      </c>
      <c r="M27" s="73">
        <f>12*K27</f>
        <v>4068</v>
      </c>
      <c r="O27" s="140">
        <f>MyWheels!K20</f>
        <v>6240</v>
      </c>
    </row>
    <row r="28" spans="1:15" x14ac:dyDescent="0.3">
      <c r="A28" s="8"/>
      <c r="B28" s="9"/>
      <c r="C28" s="9"/>
      <c r="D28" s="9"/>
    </row>
    <row r="29" spans="1:15" x14ac:dyDescent="0.3">
      <c r="B29" s="1" t="s">
        <v>85</v>
      </c>
      <c r="C29" s="14" t="s">
        <v>84</v>
      </c>
      <c r="D29" s="161" t="s">
        <v>9</v>
      </c>
      <c r="E29" s="161" t="s">
        <v>86</v>
      </c>
      <c r="F29" s="161" t="s">
        <v>87</v>
      </c>
      <c r="G29" s="160" t="s">
        <v>20</v>
      </c>
      <c r="H29" s="14" t="s">
        <v>83</v>
      </c>
    </row>
    <row r="30" spans="1:15" x14ac:dyDescent="0.3">
      <c r="A30" s="129" t="s">
        <v>91</v>
      </c>
      <c r="D30" s="159">
        <f>SUM(D33:D35)</f>
        <v>432</v>
      </c>
      <c r="E30" s="6"/>
      <c r="G30" s="159">
        <f>SUM(G33:G35)</f>
        <v>56</v>
      </c>
      <c r="H30" s="159">
        <f>SUM(H33:H35)</f>
        <v>108</v>
      </c>
    </row>
    <row r="31" spans="1:15" x14ac:dyDescent="0.3">
      <c r="A31" t="s">
        <v>81</v>
      </c>
      <c r="B31" s="2">
        <v>4</v>
      </c>
      <c r="C31" s="2">
        <v>70</v>
      </c>
      <c r="D31" s="159">
        <f>2*B31*C31</f>
        <v>560</v>
      </c>
      <c r="E31" s="159">
        <v>6</v>
      </c>
      <c r="F31" s="2">
        <v>0</v>
      </c>
      <c r="G31" s="159">
        <f>(E31*2+F31)*B31</f>
        <v>48</v>
      </c>
      <c r="H31" s="5">
        <f>D31*0.25</f>
        <v>140</v>
      </c>
    </row>
    <row r="32" spans="1:15" x14ac:dyDescent="0.3">
      <c r="A32" t="s">
        <v>82</v>
      </c>
      <c r="B32" s="2">
        <v>2</v>
      </c>
      <c r="C32" s="2">
        <v>120</v>
      </c>
      <c r="D32" s="159">
        <f>2*B32*C32</f>
        <v>480</v>
      </c>
      <c r="E32" s="159">
        <v>8</v>
      </c>
      <c r="F32" s="2">
        <v>4</v>
      </c>
      <c r="G32" s="159">
        <f>(E32*2+F32)*B32</f>
        <v>40</v>
      </c>
      <c r="H32" s="5">
        <f>D32*0.25</f>
        <v>120</v>
      </c>
    </row>
    <row r="33" spans="1:8" x14ac:dyDescent="0.3">
      <c r="A33" s="162" t="s">
        <v>88</v>
      </c>
      <c r="B33" s="2">
        <v>4</v>
      </c>
      <c r="C33" s="2">
        <v>8</v>
      </c>
      <c r="D33" s="159">
        <f>2*B33*C33</f>
        <v>64</v>
      </c>
      <c r="E33" s="2">
        <v>0</v>
      </c>
      <c r="F33" s="2">
        <v>3</v>
      </c>
      <c r="G33" s="159">
        <f>(E33*2+F33)*B33</f>
        <v>12</v>
      </c>
      <c r="H33" s="5">
        <f>D33*0.25</f>
        <v>16</v>
      </c>
    </row>
    <row r="34" spans="1:8" x14ac:dyDescent="0.3">
      <c r="A34" s="162" t="s">
        <v>89</v>
      </c>
      <c r="B34" s="2">
        <v>8</v>
      </c>
      <c r="C34" s="2">
        <v>3</v>
      </c>
      <c r="D34" s="159">
        <f>2*B34*C34</f>
        <v>48</v>
      </c>
      <c r="E34" s="2">
        <v>1.5</v>
      </c>
      <c r="F34" s="2">
        <v>0</v>
      </c>
      <c r="G34" s="159">
        <f>(E34*2+F34)*B34</f>
        <v>24</v>
      </c>
      <c r="H34" s="5">
        <f>D34*0.25</f>
        <v>12</v>
      </c>
    </row>
    <row r="35" spans="1:8" x14ac:dyDescent="0.3">
      <c r="A35" t="s">
        <v>90</v>
      </c>
      <c r="B35" s="2">
        <v>1</v>
      </c>
      <c r="C35" s="2">
        <v>160</v>
      </c>
      <c r="D35" s="159">
        <f>2*B35*C35</f>
        <v>320</v>
      </c>
      <c r="E35" s="159">
        <v>8</v>
      </c>
      <c r="F35" s="2">
        <v>4</v>
      </c>
      <c r="G35" s="159">
        <f>(E35*2+F35)*B35</f>
        <v>20</v>
      </c>
      <c r="H35" s="5">
        <f>D35*0.25</f>
        <v>80</v>
      </c>
    </row>
    <row r="36" spans="1:8" x14ac:dyDescent="0.3">
      <c r="B36" s="10"/>
      <c r="C36" s="10"/>
      <c r="D36" s="10"/>
      <c r="F36" s="5"/>
      <c r="G36" s="5"/>
      <c r="H36" s="5"/>
    </row>
    <row r="37" spans="1:8" x14ac:dyDescent="0.3">
      <c r="B37" s="10"/>
      <c r="C37" s="10"/>
      <c r="D37" s="10"/>
      <c r="F37" s="5"/>
      <c r="G37" s="5"/>
      <c r="H37" s="5"/>
    </row>
    <row r="39" spans="1:8" x14ac:dyDescent="0.3">
      <c r="B39" s="10"/>
      <c r="C39" s="10"/>
      <c r="D39" s="10"/>
    </row>
    <row r="40" spans="1:8" x14ac:dyDescent="0.3">
      <c r="B40" s="10"/>
      <c r="C40" s="10"/>
      <c r="D40" s="10"/>
    </row>
    <row r="41" spans="1:8" x14ac:dyDescent="0.3">
      <c r="B41" s="10"/>
      <c r="C41" s="10"/>
      <c r="D41" s="10"/>
    </row>
    <row r="42" spans="1:8" x14ac:dyDescent="0.3">
      <c r="B42" s="10"/>
      <c r="C42" s="10"/>
      <c r="D42" s="10"/>
    </row>
  </sheetData>
  <mergeCells count="4">
    <mergeCell ref="H7:I7"/>
    <mergeCell ref="F22:H22"/>
    <mergeCell ref="I22:J22"/>
    <mergeCell ref="L22:M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C472-6E0F-49DC-A1E0-EEAB0ECE90D7}">
  <dimension ref="A1:T35"/>
  <sheetViews>
    <sheetView zoomScaleNormal="100" workbookViewId="0">
      <selection activeCell="B23" sqref="B23"/>
    </sheetView>
  </sheetViews>
  <sheetFormatPr defaultRowHeight="14.4" x14ac:dyDescent="0.3"/>
  <cols>
    <col min="1" max="1" width="23.44140625" customWidth="1"/>
    <col min="2" max="5" width="9.77734375" customWidth="1"/>
    <col min="8" max="8" width="10.33203125" customWidth="1"/>
    <col min="9" max="9" width="10.44140625" customWidth="1"/>
    <col min="10" max="10" width="13.109375" customWidth="1"/>
    <col min="16" max="16" width="4.77734375" customWidth="1"/>
    <col min="17" max="17" width="17.21875" customWidth="1"/>
    <col min="18" max="18" width="12.21875" style="2" customWidth="1"/>
    <col min="19" max="19" width="12.6640625" style="2" customWidth="1"/>
    <col min="20" max="20" width="12.44140625" style="2" customWidth="1"/>
  </cols>
  <sheetData>
    <row r="1" spans="1:11" ht="18.600000000000001" thickBot="1" x14ac:dyDescent="0.4">
      <c r="A1" s="17" t="s">
        <v>71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x14ac:dyDescent="0.3">
      <c r="A2" s="52"/>
      <c r="B2" s="134" t="s">
        <v>68</v>
      </c>
      <c r="C2" s="28" t="s">
        <v>18</v>
      </c>
    </row>
    <row r="3" spans="1:11" x14ac:dyDescent="0.3">
      <c r="A3" s="54" t="s">
        <v>69</v>
      </c>
      <c r="B3" s="135">
        <v>3.25</v>
      </c>
      <c r="C3" s="29">
        <v>0.32</v>
      </c>
    </row>
    <row r="4" spans="1:11" x14ac:dyDescent="0.3">
      <c r="A4" s="54" t="s">
        <v>15</v>
      </c>
      <c r="B4" s="135">
        <v>3.75</v>
      </c>
      <c r="C4" s="29">
        <v>0.35</v>
      </c>
    </row>
    <row r="5" spans="1:11" ht="15" thickBot="1" x14ac:dyDescent="0.35">
      <c r="A5" s="54" t="s">
        <v>16</v>
      </c>
      <c r="B5" s="136">
        <v>4.25</v>
      </c>
      <c r="C5" s="30">
        <v>0.38</v>
      </c>
    </row>
    <row r="7" spans="1:11" x14ac:dyDescent="0.3">
      <c r="B7" s="2"/>
      <c r="C7" s="2"/>
      <c r="D7" s="2"/>
      <c r="E7" s="2"/>
    </row>
    <row r="14" spans="1:11" ht="15" thickBot="1" x14ac:dyDescent="0.35">
      <c r="A14" s="3"/>
      <c r="B14" s="6"/>
      <c r="C14" s="6"/>
      <c r="E14" t="s">
        <v>92</v>
      </c>
    </row>
    <row r="15" spans="1:11" x14ac:dyDescent="0.3">
      <c r="B15" s="6"/>
      <c r="C15" s="6"/>
      <c r="E15" s="171" t="s">
        <v>67</v>
      </c>
      <c r="F15" s="172"/>
      <c r="G15" s="169" t="s">
        <v>61</v>
      </c>
      <c r="H15" s="170"/>
      <c r="I15" s="146" t="s">
        <v>36</v>
      </c>
      <c r="J15" s="169" t="s">
        <v>63</v>
      </c>
      <c r="K15" s="170"/>
    </row>
    <row r="16" spans="1:11" x14ac:dyDescent="0.3">
      <c r="A16" s="1" t="s">
        <v>26</v>
      </c>
      <c r="B16" s="2" t="s">
        <v>8</v>
      </c>
      <c r="C16" s="2" t="s">
        <v>27</v>
      </c>
      <c r="D16" s="2" t="s">
        <v>9</v>
      </c>
      <c r="E16" s="61" t="s">
        <v>37</v>
      </c>
      <c r="F16" s="124" t="s">
        <v>38</v>
      </c>
      <c r="G16" s="61" t="s">
        <v>9</v>
      </c>
      <c r="H16" s="143" t="s">
        <v>38</v>
      </c>
      <c r="I16" s="144" t="s">
        <v>38</v>
      </c>
      <c r="J16" s="67" t="s">
        <v>9</v>
      </c>
      <c r="K16" s="145" t="s">
        <v>38</v>
      </c>
    </row>
    <row r="17" spans="1:11" x14ac:dyDescent="0.3">
      <c r="A17" s="147" t="s">
        <v>10</v>
      </c>
      <c r="B17" s="109">
        <v>1</v>
      </c>
      <c r="C17" s="109">
        <v>2</v>
      </c>
      <c r="D17" s="109">
        <v>30</v>
      </c>
      <c r="E17" s="61">
        <f>B17*4*C17</f>
        <v>8</v>
      </c>
      <c r="F17" s="141">
        <f>E17*B$4</f>
        <v>30</v>
      </c>
      <c r="G17" s="61">
        <f>B17*4*D17</f>
        <v>120</v>
      </c>
      <c r="H17" s="141">
        <f>G17*C$4</f>
        <v>42</v>
      </c>
      <c r="I17" s="69">
        <f>F17+H17</f>
        <v>72</v>
      </c>
      <c r="J17" s="61">
        <f>12*G17</f>
        <v>1440</v>
      </c>
      <c r="K17" s="72">
        <f>12*I17</f>
        <v>864</v>
      </c>
    </row>
    <row r="18" spans="1:11" x14ac:dyDescent="0.3">
      <c r="A18" s="147" t="s">
        <v>11</v>
      </c>
      <c r="B18" s="109">
        <v>2</v>
      </c>
      <c r="C18" s="109">
        <v>3</v>
      </c>
      <c r="D18" s="109">
        <v>30</v>
      </c>
      <c r="E18" s="61">
        <f>B18*4*C18</f>
        <v>24</v>
      </c>
      <c r="F18" s="141">
        <f>E18*B$4</f>
        <v>90</v>
      </c>
      <c r="G18" s="61">
        <f>B18*4*D18</f>
        <v>240</v>
      </c>
      <c r="H18" s="141">
        <f>G18*C$4</f>
        <v>84</v>
      </c>
      <c r="I18" s="69">
        <f>F18+H18</f>
        <v>174</v>
      </c>
      <c r="J18" s="61">
        <f>12*G18</f>
        <v>2880</v>
      </c>
      <c r="K18" s="72">
        <f>12*I18</f>
        <v>2088</v>
      </c>
    </row>
    <row r="19" spans="1:11" x14ac:dyDescent="0.3">
      <c r="A19" s="147" t="s">
        <v>12</v>
      </c>
      <c r="B19" s="109">
        <v>3</v>
      </c>
      <c r="C19" s="109">
        <v>4</v>
      </c>
      <c r="D19" s="109">
        <v>50</v>
      </c>
      <c r="E19" s="61">
        <f>B19*4*C19</f>
        <v>48</v>
      </c>
      <c r="F19" s="141">
        <f>E19*B$4</f>
        <v>180</v>
      </c>
      <c r="G19" s="61">
        <f>B19*4*D19</f>
        <v>600</v>
      </c>
      <c r="H19" s="141">
        <f>G19*C$4</f>
        <v>210</v>
      </c>
      <c r="I19" s="69">
        <f>F19+H19</f>
        <v>390</v>
      </c>
      <c r="J19" s="61">
        <f>12*G19</f>
        <v>7200</v>
      </c>
      <c r="K19" s="72">
        <f>12*I19</f>
        <v>4680</v>
      </c>
    </row>
    <row r="20" spans="1:11" ht="15" thickBot="1" x14ac:dyDescent="0.35">
      <c r="A20" s="147" t="s">
        <v>13</v>
      </c>
      <c r="B20" s="109">
        <v>4</v>
      </c>
      <c r="C20" s="109">
        <v>4</v>
      </c>
      <c r="D20" s="109">
        <v>50</v>
      </c>
      <c r="E20" s="64">
        <f>B20*4*C20</f>
        <v>64</v>
      </c>
      <c r="F20" s="142">
        <f>E20*B$4</f>
        <v>240</v>
      </c>
      <c r="G20" s="64">
        <f>B20*4*D20</f>
        <v>800</v>
      </c>
      <c r="H20" s="142">
        <f>G20*C$4</f>
        <v>280</v>
      </c>
      <c r="I20" s="70">
        <f>F20+H20</f>
        <v>520</v>
      </c>
      <c r="J20" s="64">
        <f>12*G20</f>
        <v>9600</v>
      </c>
      <c r="K20" s="73">
        <f>12*I20</f>
        <v>6240</v>
      </c>
    </row>
    <row r="21" spans="1:11" x14ac:dyDescent="0.3">
      <c r="A21" s="8"/>
      <c r="B21" s="9"/>
      <c r="C21" s="9"/>
    </row>
    <row r="22" spans="1:11" x14ac:dyDescent="0.3">
      <c r="B22" s="6"/>
      <c r="C22" s="6"/>
    </row>
    <row r="23" spans="1:11" x14ac:dyDescent="0.3">
      <c r="B23" s="6"/>
      <c r="C23" s="6"/>
    </row>
    <row r="24" spans="1:11" x14ac:dyDescent="0.3">
      <c r="B24" s="6"/>
      <c r="C24" s="6"/>
    </row>
    <row r="25" spans="1:11" x14ac:dyDescent="0.3">
      <c r="B25" s="6"/>
      <c r="C25" s="6"/>
      <c r="E25" s="1"/>
    </row>
    <row r="26" spans="1:11" x14ac:dyDescent="0.3">
      <c r="A26" s="1"/>
      <c r="B26" s="2"/>
      <c r="C26" s="2"/>
      <c r="E26" s="7"/>
      <c r="F26" s="7"/>
      <c r="G26" s="7"/>
    </row>
    <row r="27" spans="1:11" x14ac:dyDescent="0.3">
      <c r="B27" s="10"/>
      <c r="C27" s="10"/>
      <c r="E27" s="5"/>
      <c r="F27" s="5"/>
      <c r="G27" s="5"/>
    </row>
    <row r="28" spans="1:11" x14ac:dyDescent="0.3">
      <c r="B28" s="10"/>
      <c r="C28" s="10"/>
      <c r="E28" s="5"/>
      <c r="F28" s="5"/>
      <c r="G28" s="5"/>
    </row>
    <row r="29" spans="1:11" x14ac:dyDescent="0.3">
      <c r="B29" s="10"/>
      <c r="C29" s="10"/>
      <c r="E29" s="5"/>
      <c r="F29" s="5"/>
      <c r="G29" s="5"/>
    </row>
    <row r="30" spans="1:11" x14ac:dyDescent="0.3">
      <c r="B30" s="10"/>
      <c r="C30" s="10"/>
      <c r="E30" s="5"/>
      <c r="F30" s="5"/>
      <c r="G30" s="5"/>
    </row>
    <row r="32" spans="1:11" x14ac:dyDescent="0.3">
      <c r="B32" s="10"/>
      <c r="C32" s="10"/>
    </row>
    <row r="33" spans="2:3" x14ac:dyDescent="0.3">
      <c r="B33" s="10"/>
      <c r="C33" s="10"/>
    </row>
    <row r="34" spans="2:3" x14ac:dyDescent="0.3">
      <c r="B34" s="10"/>
      <c r="C34" s="10"/>
    </row>
    <row r="35" spans="2:3" x14ac:dyDescent="0.3">
      <c r="B35" s="10"/>
      <c r="C35" s="10"/>
    </row>
  </sheetData>
  <mergeCells count="3">
    <mergeCell ref="J15:K15"/>
    <mergeCell ref="G15:H15"/>
    <mergeCell ref="E15:F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164C-178D-4134-9AA4-18E410E21227}">
  <dimension ref="A1:Y26"/>
  <sheetViews>
    <sheetView zoomScaleNormal="100" workbookViewId="0">
      <selection activeCell="B9" sqref="B9"/>
    </sheetView>
  </sheetViews>
  <sheetFormatPr defaultRowHeight="14.4" x14ac:dyDescent="0.3"/>
  <cols>
    <col min="1" max="1" width="23.44140625" customWidth="1"/>
    <col min="2" max="3" width="8.77734375" customWidth="1"/>
    <col min="4" max="4" width="8.77734375" style="2" customWidth="1"/>
    <col min="5" max="5" width="8.77734375" customWidth="1"/>
    <col min="6" max="6" width="16.77734375" customWidth="1"/>
    <col min="9" max="9" width="9.88671875" customWidth="1"/>
    <col min="14" max="14" width="9.44140625" bestFit="1" customWidth="1"/>
    <col min="21" max="21" width="4.77734375" customWidth="1"/>
    <col min="22" max="22" width="17.21875" customWidth="1"/>
    <col min="23" max="23" width="12.21875" style="2" customWidth="1"/>
    <col min="24" max="24" width="12.6640625" style="2" customWidth="1"/>
    <col min="25" max="25" width="12.44140625" style="2" customWidth="1"/>
  </cols>
  <sheetData>
    <row r="1" spans="1:15" ht="18" x14ac:dyDescent="0.35">
      <c r="A1" s="74" t="s">
        <v>7</v>
      </c>
      <c r="B1" s="75" t="s">
        <v>28</v>
      </c>
      <c r="C1" s="75" t="s">
        <v>29</v>
      </c>
      <c r="D1" s="76" t="s">
        <v>30</v>
      </c>
      <c r="F1" s="85"/>
      <c r="G1" s="86"/>
      <c r="H1" s="90" t="s">
        <v>47</v>
      </c>
      <c r="I1" s="91" t="s">
        <v>14</v>
      </c>
    </row>
    <row r="2" spans="1:15" x14ac:dyDescent="0.3">
      <c r="A2" s="77" t="s">
        <v>39</v>
      </c>
      <c r="B2" s="105">
        <v>1000</v>
      </c>
      <c r="C2" s="105">
        <v>1500</v>
      </c>
      <c r="D2" s="106">
        <v>2000</v>
      </c>
      <c r="E2" s="2"/>
      <c r="F2" s="104" t="s">
        <v>0</v>
      </c>
      <c r="G2" s="84" t="s">
        <v>8</v>
      </c>
      <c r="H2" s="84" t="s">
        <v>9</v>
      </c>
      <c r="I2" s="87" t="s">
        <v>9</v>
      </c>
      <c r="J2" s="83"/>
      <c r="K2" s="13"/>
      <c r="L2" s="13"/>
      <c r="M2" s="14"/>
    </row>
    <row r="3" spans="1:15" x14ac:dyDescent="0.3">
      <c r="A3" s="78" t="s">
        <v>40</v>
      </c>
      <c r="B3" s="105">
        <v>600</v>
      </c>
      <c r="C3" s="105">
        <v>700</v>
      </c>
      <c r="D3" s="106">
        <v>800</v>
      </c>
      <c r="E3" s="11"/>
      <c r="F3" s="92" t="s">
        <v>10</v>
      </c>
      <c r="G3" s="84">
        <f>WeDriveSolar!B24</f>
        <v>1</v>
      </c>
      <c r="H3" s="84">
        <f>WeDriveSolar!E24</f>
        <v>30</v>
      </c>
      <c r="I3" s="87">
        <f>G3*4*H3</f>
        <v>120</v>
      </c>
      <c r="K3" s="12"/>
      <c r="L3" s="12"/>
      <c r="M3" s="15"/>
    </row>
    <row r="4" spans="1:15" x14ac:dyDescent="0.3">
      <c r="A4" s="78" t="s">
        <v>41</v>
      </c>
      <c r="B4" s="105">
        <f>12*30</f>
        <v>360</v>
      </c>
      <c r="C4" s="105">
        <v>450</v>
      </c>
      <c r="D4" s="106">
        <v>600</v>
      </c>
      <c r="E4" s="2"/>
      <c r="F4" s="92" t="s">
        <v>11</v>
      </c>
      <c r="G4" s="84">
        <f>WeDriveSolar!B25</f>
        <v>2</v>
      </c>
      <c r="H4" s="84">
        <f>WeDriveSolar!E25</f>
        <v>30</v>
      </c>
      <c r="I4" s="87">
        <f>G4*4*H4</f>
        <v>240</v>
      </c>
      <c r="K4" s="12"/>
      <c r="L4" s="12"/>
      <c r="M4" s="15"/>
    </row>
    <row r="5" spans="1:15" x14ac:dyDescent="0.3">
      <c r="A5" s="78" t="s">
        <v>43</v>
      </c>
      <c r="B5" s="105">
        <v>300</v>
      </c>
      <c r="C5" s="105">
        <v>400</v>
      </c>
      <c r="D5" s="106">
        <v>500</v>
      </c>
      <c r="E5" s="5"/>
      <c r="F5" s="92" t="s">
        <v>12</v>
      </c>
      <c r="G5" s="84">
        <f>WeDriveSolar!B26</f>
        <v>3</v>
      </c>
      <c r="H5" s="84">
        <f>WeDriveSolar!E26</f>
        <v>50</v>
      </c>
      <c r="I5" s="87">
        <f>G5*4*H5</f>
        <v>600</v>
      </c>
      <c r="K5" s="12"/>
      <c r="L5" s="12"/>
      <c r="M5" s="15"/>
    </row>
    <row r="6" spans="1:15" ht="15" thickBot="1" x14ac:dyDescent="0.35">
      <c r="A6" s="79" t="s">
        <v>42</v>
      </c>
      <c r="B6" s="80">
        <f>SUM(B2:B5)</f>
        <v>2260</v>
      </c>
      <c r="C6" s="80">
        <f>SUM(C2:C5)</f>
        <v>3050</v>
      </c>
      <c r="D6" s="81">
        <f>SUM(D2:D5)</f>
        <v>3900</v>
      </c>
      <c r="E6" s="16"/>
      <c r="F6" s="93" t="s">
        <v>13</v>
      </c>
      <c r="G6" s="88">
        <f>WeDriveSolar!B27</f>
        <v>4</v>
      </c>
      <c r="H6" s="88">
        <f>WeDriveSolar!E27</f>
        <v>50</v>
      </c>
      <c r="I6" s="89">
        <f>G6*4*H6</f>
        <v>800</v>
      </c>
      <c r="K6" s="12"/>
      <c r="L6" s="12"/>
      <c r="M6" s="15"/>
    </row>
    <row r="7" spans="1:15" x14ac:dyDescent="0.3">
      <c r="B7" s="2"/>
      <c r="C7" s="2"/>
      <c r="E7" s="4"/>
      <c r="F7" s="2"/>
    </row>
    <row r="8" spans="1:15" x14ac:dyDescent="0.3">
      <c r="A8" t="s">
        <v>44</v>
      </c>
      <c r="B8" s="107">
        <v>1.9</v>
      </c>
      <c r="C8" s="158">
        <f>B8</f>
        <v>1.9</v>
      </c>
      <c r="D8" s="158">
        <f>B8</f>
        <v>1.9</v>
      </c>
    </row>
    <row r="9" spans="1:15" x14ac:dyDescent="0.3">
      <c r="A9" s="8" t="s">
        <v>46</v>
      </c>
      <c r="B9" s="108">
        <v>19</v>
      </c>
      <c r="C9" s="108">
        <v>17</v>
      </c>
      <c r="D9" s="108">
        <v>15</v>
      </c>
    </row>
    <row r="10" spans="1:15" x14ac:dyDescent="0.3">
      <c r="A10" s="8" t="s">
        <v>45</v>
      </c>
      <c r="B10" s="82">
        <f>100/B9</f>
        <v>5.2631578947368425</v>
      </c>
      <c r="C10" s="82">
        <f t="shared" ref="C10:D10" si="0">100/C9</f>
        <v>5.882352941176471</v>
      </c>
      <c r="D10" s="82">
        <f t="shared" si="0"/>
        <v>6.666666666666667</v>
      </c>
      <c r="O10" s="2"/>
    </row>
    <row r="11" spans="1:15" x14ac:dyDescent="0.3">
      <c r="O11" s="2"/>
    </row>
    <row r="12" spans="1:15" ht="15" thickBot="1" x14ac:dyDescent="0.35">
      <c r="O12" s="2"/>
    </row>
    <row r="13" spans="1:15" x14ac:dyDescent="0.3">
      <c r="A13" s="173" t="s">
        <v>48</v>
      </c>
      <c r="B13" s="174"/>
      <c r="C13" s="174"/>
      <c r="D13" s="175"/>
      <c r="F13" s="173" t="s">
        <v>57</v>
      </c>
      <c r="G13" s="174"/>
      <c r="H13" s="174"/>
      <c r="I13" s="175"/>
      <c r="O13" s="2"/>
    </row>
    <row r="14" spans="1:15" x14ac:dyDescent="0.3">
      <c r="A14" s="101" t="s">
        <v>75</v>
      </c>
      <c r="B14" s="94">
        <f t="shared" ref="B14:D17" si="1">$I3*12*B$10/100*B$8</f>
        <v>144</v>
      </c>
      <c r="C14" s="94">
        <f t="shared" si="1"/>
        <v>160.94117647058826</v>
      </c>
      <c r="D14" s="95">
        <f t="shared" si="1"/>
        <v>182.39999999999998</v>
      </c>
      <c r="F14" s="101" t="s">
        <v>49</v>
      </c>
      <c r="G14" s="94">
        <f>B14/12</f>
        <v>12</v>
      </c>
      <c r="H14" s="94">
        <f t="shared" ref="H14:I14" si="2">C14/12</f>
        <v>13.411764705882355</v>
      </c>
      <c r="I14" s="95">
        <f t="shared" si="2"/>
        <v>15.199999999999998</v>
      </c>
      <c r="O14" s="2"/>
    </row>
    <row r="15" spans="1:15" x14ac:dyDescent="0.3">
      <c r="A15" s="101" t="s">
        <v>76</v>
      </c>
      <c r="B15" s="94">
        <f t="shared" si="1"/>
        <v>288</v>
      </c>
      <c r="C15" s="94">
        <f t="shared" si="1"/>
        <v>321.88235294117652</v>
      </c>
      <c r="D15" s="95">
        <f t="shared" si="1"/>
        <v>364.79999999999995</v>
      </c>
      <c r="F15" s="101" t="s">
        <v>50</v>
      </c>
      <c r="G15" s="94">
        <f t="shared" ref="G15:G17" si="3">B15/12</f>
        <v>24</v>
      </c>
      <c r="H15" s="94">
        <f t="shared" ref="H15:H17" si="4">C15/12</f>
        <v>26.82352941176471</v>
      </c>
      <c r="I15" s="95">
        <f t="shared" ref="I15:I17" si="5">D15/12</f>
        <v>30.399999999999995</v>
      </c>
      <c r="O15" s="2"/>
    </row>
    <row r="16" spans="1:15" x14ac:dyDescent="0.3">
      <c r="A16" s="101" t="s">
        <v>77</v>
      </c>
      <c r="B16" s="94">
        <f t="shared" si="1"/>
        <v>720</v>
      </c>
      <c r="C16" s="94">
        <f t="shared" si="1"/>
        <v>804.70588235294133</v>
      </c>
      <c r="D16" s="95">
        <f t="shared" si="1"/>
        <v>912</v>
      </c>
      <c r="F16" s="101" t="s">
        <v>51</v>
      </c>
      <c r="G16" s="94">
        <f t="shared" si="3"/>
        <v>60</v>
      </c>
      <c r="H16" s="94">
        <f t="shared" si="4"/>
        <v>67.058823529411782</v>
      </c>
      <c r="I16" s="95">
        <f t="shared" si="5"/>
        <v>76</v>
      </c>
      <c r="J16" s="7"/>
      <c r="K16" s="7"/>
    </row>
    <row r="17" spans="1:11" ht="15" thickBot="1" x14ac:dyDescent="0.35">
      <c r="A17" s="101" t="s">
        <v>78</v>
      </c>
      <c r="B17" s="94">
        <f t="shared" si="1"/>
        <v>960</v>
      </c>
      <c r="C17" s="94">
        <f t="shared" si="1"/>
        <v>1072.9411764705883</v>
      </c>
      <c r="D17" s="95">
        <f t="shared" si="1"/>
        <v>1216</v>
      </c>
      <c r="F17" s="101" t="s">
        <v>52</v>
      </c>
      <c r="G17" s="94">
        <f t="shared" si="3"/>
        <v>80</v>
      </c>
      <c r="H17" s="94">
        <f t="shared" si="4"/>
        <v>89.411764705882362</v>
      </c>
      <c r="I17" s="95">
        <f t="shared" si="5"/>
        <v>101.33333333333333</v>
      </c>
      <c r="J17" s="5"/>
      <c r="K17" s="5"/>
    </row>
    <row r="18" spans="1:11" ht="15" thickBot="1" x14ac:dyDescent="0.35">
      <c r="A18" s="102"/>
      <c r="B18" s="83"/>
      <c r="C18" s="83"/>
      <c r="D18" s="96"/>
      <c r="F18" s="133" t="s">
        <v>66</v>
      </c>
      <c r="G18" s="75" t="s">
        <v>28</v>
      </c>
      <c r="H18" s="75" t="s">
        <v>29</v>
      </c>
      <c r="I18" s="76" t="s">
        <v>30</v>
      </c>
      <c r="J18" s="5"/>
      <c r="K18" s="5"/>
    </row>
    <row r="19" spans="1:11" x14ac:dyDescent="0.3">
      <c r="A19" s="101" t="s">
        <v>53</v>
      </c>
      <c r="B19" s="97">
        <f t="shared" ref="B19:D22" si="6">B$6+B14</f>
        <v>2404</v>
      </c>
      <c r="C19" s="97">
        <f t="shared" si="6"/>
        <v>3210.9411764705883</v>
      </c>
      <c r="D19" s="98">
        <f t="shared" si="6"/>
        <v>4082.4</v>
      </c>
      <c r="F19" s="130" t="s">
        <v>53</v>
      </c>
      <c r="G19" s="131">
        <f>B19/12</f>
        <v>200.33333333333334</v>
      </c>
      <c r="H19" s="131">
        <f t="shared" ref="H19:I19" si="7">C19/12</f>
        <v>267.57843137254901</v>
      </c>
      <c r="I19" s="132">
        <f t="shared" si="7"/>
        <v>340.2</v>
      </c>
      <c r="J19" s="5"/>
      <c r="K19" s="5"/>
    </row>
    <row r="20" spans="1:11" x14ac:dyDescent="0.3">
      <c r="A20" s="101" t="s">
        <v>54</v>
      </c>
      <c r="B20" s="97">
        <f t="shared" si="6"/>
        <v>2548</v>
      </c>
      <c r="C20" s="97">
        <f t="shared" si="6"/>
        <v>3371.8823529411766</v>
      </c>
      <c r="D20" s="98">
        <f t="shared" si="6"/>
        <v>4264.8</v>
      </c>
      <c r="F20" s="101" t="s">
        <v>54</v>
      </c>
      <c r="G20" s="97">
        <f t="shared" ref="G20:G22" si="8">B20/12</f>
        <v>212.33333333333334</v>
      </c>
      <c r="H20" s="97">
        <f t="shared" ref="H20:H22" si="9">C20/12</f>
        <v>280.99019607843138</v>
      </c>
      <c r="I20" s="98">
        <f t="shared" ref="I20:I22" si="10">D20/12</f>
        <v>355.40000000000003</v>
      </c>
      <c r="J20" s="5"/>
      <c r="K20" s="5"/>
    </row>
    <row r="21" spans="1:11" x14ac:dyDescent="0.3">
      <c r="A21" s="101" t="s">
        <v>55</v>
      </c>
      <c r="B21" s="97">
        <f t="shared" si="6"/>
        <v>2980</v>
      </c>
      <c r="C21" s="97">
        <f t="shared" si="6"/>
        <v>3854.7058823529414</v>
      </c>
      <c r="D21" s="98">
        <f t="shared" si="6"/>
        <v>4812</v>
      </c>
      <c r="F21" s="101" t="s">
        <v>55</v>
      </c>
      <c r="G21" s="97">
        <f t="shared" si="8"/>
        <v>248.33333333333334</v>
      </c>
      <c r="H21" s="97">
        <f t="shared" si="9"/>
        <v>321.22549019607845</v>
      </c>
      <c r="I21" s="98">
        <f t="shared" si="10"/>
        <v>401</v>
      </c>
    </row>
    <row r="22" spans="1:11" ht="15" thickBot="1" x14ac:dyDescent="0.35">
      <c r="A22" s="103" t="s">
        <v>56</v>
      </c>
      <c r="B22" s="99">
        <f t="shared" si="6"/>
        <v>3220</v>
      </c>
      <c r="C22" s="99">
        <f t="shared" si="6"/>
        <v>4122.9411764705883</v>
      </c>
      <c r="D22" s="100">
        <f t="shared" si="6"/>
        <v>5116</v>
      </c>
      <c r="F22" s="103" t="s">
        <v>56</v>
      </c>
      <c r="G22" s="99">
        <f t="shared" si="8"/>
        <v>268.33333333333331</v>
      </c>
      <c r="H22" s="99">
        <f t="shared" si="9"/>
        <v>343.57843137254901</v>
      </c>
      <c r="I22" s="100">
        <f t="shared" si="10"/>
        <v>426.33333333333331</v>
      </c>
    </row>
    <row r="23" spans="1:11" x14ac:dyDescent="0.3">
      <c r="B23" s="10"/>
      <c r="C23" s="10"/>
      <c r="D23" s="10"/>
    </row>
    <row r="24" spans="1:11" x14ac:dyDescent="0.3">
      <c r="B24" s="10"/>
      <c r="C24" s="10"/>
      <c r="D24" s="10"/>
    </row>
    <row r="25" spans="1:11" x14ac:dyDescent="0.3">
      <c r="B25" s="10"/>
      <c r="C25" s="10"/>
      <c r="D25" s="10"/>
    </row>
    <row r="26" spans="1:11" x14ac:dyDescent="0.3">
      <c r="B26" s="10"/>
      <c r="C26" s="10"/>
      <c r="D26" s="10"/>
    </row>
  </sheetData>
  <mergeCells count="2">
    <mergeCell ref="A13:D13"/>
    <mergeCell ref="F13:I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6BBD-0463-4266-BF0D-6E9C6A26DEDA}">
  <dimension ref="A1:O17"/>
  <sheetViews>
    <sheetView zoomScale="110" zoomScaleNormal="110" workbookViewId="0">
      <selection activeCell="L5" sqref="L5:P11"/>
    </sheetView>
  </sheetViews>
  <sheetFormatPr defaultRowHeight="14.4" x14ac:dyDescent="0.3"/>
  <cols>
    <col min="1" max="1" width="10" style="2" customWidth="1"/>
    <col min="2" max="2" width="7.33203125" customWidth="1"/>
    <col min="3" max="4" width="10.44140625" customWidth="1"/>
    <col min="9" max="11" width="10.77734375" customWidth="1"/>
  </cols>
  <sheetData>
    <row r="1" spans="1:15" ht="18" x14ac:dyDescent="0.35">
      <c r="A1" s="110" t="s">
        <v>58</v>
      </c>
      <c r="B1" s="111"/>
      <c r="C1" s="111"/>
      <c r="D1" s="111"/>
      <c r="E1" s="111"/>
      <c r="F1" s="111"/>
      <c r="G1" s="111"/>
      <c r="H1" t="s">
        <v>60</v>
      </c>
    </row>
    <row r="2" spans="1:15" ht="15" thickBot="1" x14ac:dyDescent="0.35"/>
    <row r="3" spans="1:15" x14ac:dyDescent="0.3">
      <c r="A3" s="129" t="s">
        <v>65</v>
      </c>
      <c r="C3" s="116" t="s">
        <v>73</v>
      </c>
      <c r="D3" s="116" t="s">
        <v>74</v>
      </c>
      <c r="E3" s="165" t="s">
        <v>59</v>
      </c>
      <c r="F3" s="166"/>
      <c r="G3" s="167"/>
      <c r="I3" s="176" t="s">
        <v>79</v>
      </c>
      <c r="J3" s="177"/>
      <c r="K3" s="178"/>
    </row>
    <row r="4" spans="1:15" x14ac:dyDescent="0.3">
      <c r="C4" s="78"/>
      <c r="D4" s="78"/>
      <c r="E4" s="61" t="s">
        <v>28</v>
      </c>
      <c r="F4" s="62" t="s">
        <v>29</v>
      </c>
      <c r="G4" s="63" t="s">
        <v>30</v>
      </c>
      <c r="I4" s="61" t="s">
        <v>28</v>
      </c>
      <c r="J4" s="62" t="s">
        <v>29</v>
      </c>
      <c r="K4" s="63" t="s">
        <v>30</v>
      </c>
    </row>
    <row r="5" spans="1:15" x14ac:dyDescent="0.3">
      <c r="A5" t="s">
        <v>0</v>
      </c>
      <c r="B5" s="2" t="s">
        <v>9</v>
      </c>
      <c r="C5" s="114" t="s">
        <v>38</v>
      </c>
      <c r="D5" s="114" t="s">
        <v>38</v>
      </c>
      <c r="E5" s="114" t="s">
        <v>38</v>
      </c>
      <c r="F5" s="115" t="s">
        <v>38</v>
      </c>
      <c r="G5" s="119" t="s">
        <v>38</v>
      </c>
      <c r="I5" s="78"/>
      <c r="J5" s="112"/>
      <c r="K5" s="113"/>
    </row>
    <row r="6" spans="1:15" x14ac:dyDescent="0.3">
      <c r="A6" s="2" t="s">
        <v>10</v>
      </c>
      <c r="B6" s="2">
        <f>WeDriveSolar!L24</f>
        <v>1440</v>
      </c>
      <c r="C6" s="117">
        <f>WeDriveSolar!M24</f>
        <v>1548</v>
      </c>
      <c r="D6" s="117">
        <f>WeDriveSolar!O24</f>
        <v>864</v>
      </c>
      <c r="E6" s="117">
        <f>'Eigen auto'!B19</f>
        <v>2404</v>
      </c>
      <c r="F6" s="120">
        <f>'Eigen auto'!C19</f>
        <v>3210.9411764705883</v>
      </c>
      <c r="G6" s="121">
        <f>'Eigen auto'!D19</f>
        <v>4082.4</v>
      </c>
      <c r="I6" s="117">
        <f>E6-$C6</f>
        <v>856</v>
      </c>
      <c r="J6" s="120">
        <f>F6-$C6</f>
        <v>1662.9411764705883</v>
      </c>
      <c r="K6" s="121">
        <f>G6-$C6</f>
        <v>2534.4</v>
      </c>
      <c r="M6" s="152"/>
      <c r="N6" s="152"/>
      <c r="O6" s="152"/>
    </row>
    <row r="7" spans="1:15" x14ac:dyDescent="0.3">
      <c r="A7" s="2" t="s">
        <v>11</v>
      </c>
      <c r="B7" s="2">
        <f>WeDriveSolar!L25</f>
        <v>2880</v>
      </c>
      <c r="C7" s="117">
        <f>WeDriveSolar!M25</f>
        <v>1908</v>
      </c>
      <c r="D7" s="117">
        <f>WeDriveSolar!O25</f>
        <v>2088</v>
      </c>
      <c r="E7" s="117">
        <f>'Eigen auto'!B20</f>
        <v>2548</v>
      </c>
      <c r="F7" s="120">
        <f>'Eigen auto'!C20</f>
        <v>3371.8823529411766</v>
      </c>
      <c r="G7" s="121">
        <f>'Eigen auto'!D20</f>
        <v>4264.8</v>
      </c>
      <c r="I7" s="117">
        <f t="shared" ref="I7:I9" si="0">E7-$C7</f>
        <v>640</v>
      </c>
      <c r="J7" s="120">
        <f t="shared" ref="J7:J9" si="1">F7-$C7</f>
        <v>1463.8823529411766</v>
      </c>
      <c r="K7" s="121">
        <f t="shared" ref="K7:K9" si="2">G7-$C7</f>
        <v>2356.8000000000002</v>
      </c>
      <c r="M7" s="152"/>
      <c r="N7" s="152"/>
      <c r="O7" s="152"/>
    </row>
    <row r="8" spans="1:15" x14ac:dyDescent="0.3">
      <c r="A8" s="2" t="s">
        <v>12</v>
      </c>
      <c r="B8" s="2">
        <f>WeDriveSolar!L26</f>
        <v>7200</v>
      </c>
      <c r="C8" s="117">
        <f>WeDriveSolar!M26</f>
        <v>2988</v>
      </c>
      <c r="D8" s="117">
        <f>WeDriveSolar!O26</f>
        <v>4680</v>
      </c>
      <c r="E8" s="117">
        <f>'Eigen auto'!B21</f>
        <v>2980</v>
      </c>
      <c r="F8" s="120">
        <f>'Eigen auto'!C21</f>
        <v>3854.7058823529414</v>
      </c>
      <c r="G8" s="121">
        <f>'Eigen auto'!D21</f>
        <v>4812</v>
      </c>
      <c r="I8" s="117">
        <f t="shared" si="0"/>
        <v>-8</v>
      </c>
      <c r="J8" s="120">
        <f t="shared" si="1"/>
        <v>866.70588235294144</v>
      </c>
      <c r="K8" s="121">
        <f t="shared" si="2"/>
        <v>1824</v>
      </c>
      <c r="M8" s="152"/>
      <c r="N8" s="152"/>
      <c r="O8" s="152"/>
    </row>
    <row r="9" spans="1:15" ht="15" thickBot="1" x14ac:dyDescent="0.35">
      <c r="A9" s="2" t="s">
        <v>13</v>
      </c>
      <c r="B9" s="2">
        <f>WeDriveSolar!L27</f>
        <v>9600</v>
      </c>
      <c r="C9" s="118">
        <f>WeDriveSolar!M27</f>
        <v>4068</v>
      </c>
      <c r="D9" s="118">
        <f>WeDriveSolar!O27</f>
        <v>6240</v>
      </c>
      <c r="E9" s="118">
        <f>'Eigen auto'!B22</f>
        <v>3220</v>
      </c>
      <c r="F9" s="122">
        <f>'Eigen auto'!C22</f>
        <v>4122.9411764705883</v>
      </c>
      <c r="G9" s="123">
        <f>'Eigen auto'!D22</f>
        <v>5116</v>
      </c>
      <c r="I9" s="118">
        <f t="shared" si="0"/>
        <v>-848</v>
      </c>
      <c r="J9" s="122">
        <f t="shared" si="1"/>
        <v>54.941176470588289</v>
      </c>
      <c r="K9" s="123">
        <f t="shared" si="2"/>
        <v>1048</v>
      </c>
      <c r="M9" s="152"/>
      <c r="N9" s="152"/>
      <c r="O9" s="152"/>
    </row>
    <row r="10" spans="1:15" ht="15" thickBot="1" x14ac:dyDescent="0.35"/>
    <row r="11" spans="1:15" x14ac:dyDescent="0.3">
      <c r="A11" s="129" t="s">
        <v>64</v>
      </c>
      <c r="C11" s="116" t="s">
        <v>73</v>
      </c>
      <c r="D11" s="116" t="s">
        <v>74</v>
      </c>
      <c r="E11" s="165" t="s">
        <v>59</v>
      </c>
      <c r="F11" s="166"/>
      <c r="G11" s="167"/>
      <c r="I11" s="176" t="s">
        <v>79</v>
      </c>
      <c r="J11" s="177"/>
      <c r="K11" s="178"/>
    </row>
    <row r="12" spans="1:15" x14ac:dyDescent="0.3">
      <c r="C12" s="78"/>
      <c r="D12" s="148"/>
      <c r="E12" s="61" t="s">
        <v>28</v>
      </c>
      <c r="F12" s="62" t="s">
        <v>29</v>
      </c>
      <c r="G12" s="63" t="s">
        <v>30</v>
      </c>
      <c r="I12" s="61" t="s">
        <v>28</v>
      </c>
      <c r="J12" s="62" t="s">
        <v>29</v>
      </c>
      <c r="K12" s="63" t="s">
        <v>30</v>
      </c>
    </row>
    <row r="13" spans="1:15" x14ac:dyDescent="0.3">
      <c r="A13" t="s">
        <v>0</v>
      </c>
      <c r="B13" s="2" t="s">
        <v>9</v>
      </c>
      <c r="C13" s="114" t="s">
        <v>38</v>
      </c>
      <c r="D13" s="149" t="s">
        <v>38</v>
      </c>
      <c r="E13" s="114" t="s">
        <v>38</v>
      </c>
      <c r="F13" s="115" t="s">
        <v>38</v>
      </c>
      <c r="G13" s="119" t="s">
        <v>38</v>
      </c>
      <c r="I13" s="78"/>
      <c r="J13" s="112"/>
      <c r="K13" s="113"/>
    </row>
    <row r="14" spans="1:15" x14ac:dyDescent="0.3">
      <c r="A14" s="2" t="s">
        <v>10</v>
      </c>
      <c r="B14" s="2">
        <f>WeDriveSolar!I24</f>
        <v>120</v>
      </c>
      <c r="C14" s="117">
        <f>WeDriveSolar!K24</f>
        <v>129</v>
      </c>
      <c r="D14" s="150">
        <f>MyWheels!I17</f>
        <v>72</v>
      </c>
      <c r="E14" s="117">
        <f>'Eigen auto'!G19</f>
        <v>200.33333333333334</v>
      </c>
      <c r="F14" s="120">
        <f>'Eigen auto'!H19</f>
        <v>267.57843137254901</v>
      </c>
      <c r="G14" s="121">
        <f>'Eigen auto'!I19</f>
        <v>340.2</v>
      </c>
      <c r="I14" s="117">
        <f>E14-$C14</f>
        <v>71.333333333333343</v>
      </c>
      <c r="J14" s="120">
        <f>F14-$C14</f>
        <v>138.57843137254901</v>
      </c>
      <c r="K14" s="121">
        <f>G14-$C14</f>
        <v>211.2</v>
      </c>
    </row>
    <row r="15" spans="1:15" x14ac:dyDescent="0.3">
      <c r="A15" s="2" t="s">
        <v>11</v>
      </c>
      <c r="B15" s="2">
        <f>WeDriveSolar!I25</f>
        <v>240</v>
      </c>
      <c r="C15" s="117">
        <f>WeDriveSolar!K25</f>
        <v>159</v>
      </c>
      <c r="D15" s="150">
        <f>MyWheels!I18</f>
        <v>174</v>
      </c>
      <c r="E15" s="117">
        <f>'Eigen auto'!G20</f>
        <v>212.33333333333334</v>
      </c>
      <c r="F15" s="120">
        <f>'Eigen auto'!H20</f>
        <v>280.99019607843138</v>
      </c>
      <c r="G15" s="121">
        <f>'Eigen auto'!I20</f>
        <v>355.40000000000003</v>
      </c>
      <c r="I15" s="117">
        <f t="shared" ref="I15:I17" si="3">E15-$C15</f>
        <v>53.333333333333343</v>
      </c>
      <c r="J15" s="120">
        <f t="shared" ref="J15:J17" si="4">F15-$C15</f>
        <v>121.99019607843138</v>
      </c>
      <c r="K15" s="121">
        <f t="shared" ref="K15:K17" si="5">G15-$C15</f>
        <v>196.40000000000003</v>
      </c>
    </row>
    <row r="16" spans="1:15" x14ac:dyDescent="0.3">
      <c r="A16" s="2" t="s">
        <v>12</v>
      </c>
      <c r="B16" s="2">
        <f>WeDriveSolar!I26</f>
        <v>600</v>
      </c>
      <c r="C16" s="117">
        <f>WeDriveSolar!K26</f>
        <v>249</v>
      </c>
      <c r="D16" s="150">
        <f>MyWheels!I19</f>
        <v>390</v>
      </c>
      <c r="E16" s="117">
        <f>'Eigen auto'!G21</f>
        <v>248.33333333333334</v>
      </c>
      <c r="F16" s="120">
        <f>'Eigen auto'!H21</f>
        <v>321.22549019607845</v>
      </c>
      <c r="G16" s="121">
        <f>'Eigen auto'!I21</f>
        <v>401</v>
      </c>
      <c r="I16" s="117">
        <f t="shared" si="3"/>
        <v>-0.66666666666665719</v>
      </c>
      <c r="J16" s="120">
        <f t="shared" si="4"/>
        <v>72.225490196078454</v>
      </c>
      <c r="K16" s="121">
        <f t="shared" si="5"/>
        <v>152</v>
      </c>
    </row>
    <row r="17" spans="1:11" ht="15" thickBot="1" x14ac:dyDescent="0.35">
      <c r="A17" s="2" t="s">
        <v>13</v>
      </c>
      <c r="B17" s="2">
        <f>WeDriveSolar!I27</f>
        <v>800</v>
      </c>
      <c r="C17" s="118">
        <f>WeDriveSolar!K27</f>
        <v>339</v>
      </c>
      <c r="D17" s="151">
        <f>MyWheels!I20</f>
        <v>520</v>
      </c>
      <c r="E17" s="118">
        <f>'Eigen auto'!G22</f>
        <v>268.33333333333331</v>
      </c>
      <c r="F17" s="122">
        <f>'Eigen auto'!H22</f>
        <v>343.57843137254901</v>
      </c>
      <c r="G17" s="123">
        <f>'Eigen auto'!I22</f>
        <v>426.33333333333331</v>
      </c>
      <c r="I17" s="118">
        <f t="shared" si="3"/>
        <v>-70.666666666666686</v>
      </c>
      <c r="J17" s="122">
        <f t="shared" si="4"/>
        <v>4.5784313725490051</v>
      </c>
      <c r="K17" s="123">
        <f t="shared" si="5"/>
        <v>87.333333333333314</v>
      </c>
    </row>
  </sheetData>
  <mergeCells count="4">
    <mergeCell ref="E3:G3"/>
    <mergeCell ref="I3:K3"/>
    <mergeCell ref="E11:G11"/>
    <mergeCell ref="I11:K11"/>
  </mergeCells>
  <conditionalFormatting sqref="I6:K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I14:K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WeDriveSolar</vt:lpstr>
      <vt:lpstr>MyWheels</vt:lpstr>
      <vt:lpstr>Eigen auto</vt:lpstr>
      <vt:lpstr>Vergelijking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Bohlander</dc:creator>
  <cp:lastModifiedBy>Henk Bohlander</cp:lastModifiedBy>
  <dcterms:created xsi:type="dcterms:W3CDTF">2022-01-17T12:40:40Z</dcterms:created>
  <dcterms:modified xsi:type="dcterms:W3CDTF">2022-11-16T21:58:06Z</dcterms:modified>
</cp:coreProperties>
</file>